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easley\Searches\Downloads\"/>
    </mc:Choice>
  </mc:AlternateContent>
  <xr:revisionPtr revIDLastSave="0" documentId="8_{C16DB1DF-8779-4CE8-B350-0B8095AF361A}" xr6:coauthVersionLast="47" xr6:coauthVersionMax="47" xr10:uidLastSave="{00000000-0000-0000-0000-000000000000}"/>
  <bookViews>
    <workbookView xWindow="-23148" yWindow="-744" windowWidth="23256" windowHeight="12576" xr2:uid="{CDB3B8C7-08FF-44DB-9230-7FCBED63E216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6" i="1" l="1"/>
  <c r="A136" i="1"/>
  <c r="A135" i="1"/>
  <c r="A132" i="1"/>
  <c r="A131" i="1"/>
  <c r="A130" i="1"/>
  <c r="A129" i="1"/>
  <c r="A125" i="1"/>
  <c r="A124" i="1"/>
  <c r="A122" i="1"/>
  <c r="A121" i="1"/>
  <c r="A120" i="1"/>
  <c r="A119" i="1"/>
  <c r="A118" i="1"/>
  <c r="A117" i="1"/>
  <c r="A116" i="1"/>
  <c r="A114" i="1"/>
  <c r="A98" i="1"/>
  <c r="A78" i="1"/>
  <c r="A138" i="1"/>
  <c r="A139" i="1"/>
  <c r="A142" i="1"/>
  <c r="A143" i="1"/>
  <c r="A144" i="1"/>
  <c r="A145" i="1"/>
  <c r="A146" i="1"/>
  <c r="A147" i="1"/>
  <c r="A148" i="1"/>
  <c r="A149" i="1"/>
  <c r="A150" i="1"/>
  <c r="A81" i="1"/>
  <c r="A79" i="1"/>
  <c r="A70" i="1"/>
  <c r="A69" i="1"/>
  <c r="A68" i="1"/>
  <c r="A59" i="1"/>
  <c r="A58" i="1"/>
  <c r="A57" i="1"/>
  <c r="A56" i="1"/>
  <c r="A52" i="1"/>
  <c r="A50" i="1"/>
  <c r="A49" i="1"/>
  <c r="A48" i="1"/>
  <c r="A47" i="1"/>
  <c r="A45" i="1"/>
  <c r="A43" i="1"/>
  <c r="A42" i="1"/>
  <c r="A41" i="1"/>
  <c r="A39" i="1"/>
  <c r="A40" i="1"/>
  <c r="A36" i="1"/>
  <c r="A33" i="1"/>
  <c r="A17" i="1"/>
  <c r="A12" i="1"/>
  <c r="A8" i="1"/>
  <c r="A25" i="1"/>
  <c r="A154" i="1"/>
  <c r="A158" i="1"/>
  <c r="A157" i="1"/>
  <c r="A156" i="1"/>
  <c r="A155" i="1"/>
  <c r="A159" i="1"/>
  <c r="A160" i="1"/>
  <c r="A161" i="1"/>
  <c r="A163" i="1"/>
  <c r="A165" i="1"/>
  <c r="A166" i="1"/>
  <c r="A168" i="1"/>
  <c r="A169" i="1"/>
  <c r="A113" i="1"/>
  <c r="A112" i="1"/>
  <c r="A111" i="1"/>
  <c r="A110" i="1"/>
  <c r="A109" i="1"/>
  <c r="A108" i="1"/>
  <c r="A106" i="1"/>
  <c r="A105" i="1"/>
  <c r="A104" i="1"/>
  <c r="A103" i="1"/>
  <c r="A102" i="1"/>
  <c r="A100" i="1"/>
  <c r="A99" i="1"/>
  <c r="A97" i="1"/>
  <c r="A96" i="1"/>
  <c r="A95" i="1"/>
  <c r="A94" i="1"/>
  <c r="A93" i="1"/>
  <c r="A92" i="1"/>
  <c r="A91" i="1"/>
  <c r="A87" i="1"/>
  <c r="A86" i="1"/>
  <c r="A85" i="1"/>
  <c r="A82" i="1"/>
  <c r="A77" i="1"/>
  <c r="A76" i="1"/>
  <c r="A75" i="1"/>
  <c r="A74" i="1"/>
  <c r="A72" i="1"/>
  <c r="A71" i="1"/>
  <c r="A80" i="1"/>
  <c r="A29" i="1"/>
  <c r="A19" i="1"/>
  <c r="A18" i="1"/>
  <c r="A16" i="1"/>
  <c r="A15" i="1"/>
  <c r="A14" i="1"/>
  <c r="A13" i="1"/>
  <c r="A11" i="1"/>
  <c r="A10" i="1"/>
  <c r="A9" i="1"/>
  <c r="A32" i="1"/>
  <c r="A26" i="1"/>
  <c r="A107" i="1"/>
  <c r="A7" i="1"/>
  <c r="A141" i="1"/>
  <c r="A101" i="1"/>
  <c r="A167" i="1"/>
  <c r="A24" i="1"/>
  <c r="A73" i="1"/>
  <c r="A23" i="1"/>
  <c r="A34" i="1"/>
  <c r="A6" i="1"/>
  <c r="A140" i="1"/>
  <c r="A44" i="1"/>
  <c r="A22" i="1"/>
  <c r="A115" i="1"/>
  <c r="A67" i="1"/>
  <c r="A66" i="1"/>
  <c r="A31" i="1"/>
  <c r="A65" i="1"/>
  <c r="A64" i="1"/>
  <c r="A63" i="1"/>
  <c r="A30" i="1"/>
  <c r="A62" i="1"/>
  <c r="A61" i="1"/>
  <c r="A60" i="1"/>
  <c r="A5" i="1"/>
  <c r="A28" i="1"/>
  <c r="A137" i="1"/>
  <c r="A55" i="1"/>
  <c r="A164" i="1"/>
  <c r="A134" i="1"/>
  <c r="A153" i="1"/>
  <c r="A54" i="1"/>
  <c r="A4" i="1"/>
  <c r="A37" i="1"/>
  <c r="A53" i="1"/>
  <c r="A21" i="1"/>
  <c r="A20" i="1"/>
  <c r="A133" i="1"/>
  <c r="A152" i="1"/>
  <c r="A90" i="1"/>
  <c r="A51" i="1"/>
  <c r="A27" i="1"/>
  <c r="A128" i="1"/>
  <c r="A3" i="1"/>
  <c r="A127" i="1"/>
  <c r="A126" i="1"/>
  <c r="A89" i="1"/>
  <c r="A151" i="1"/>
  <c r="A88" i="1"/>
  <c r="A162" i="1"/>
  <c r="A84" i="1"/>
  <c r="A83" i="1"/>
  <c r="A2" i="1"/>
  <c r="A38" i="1"/>
  <c r="A35" i="1"/>
</calcChain>
</file>

<file path=xl/sharedStrings.xml><?xml version="1.0" encoding="utf-8"?>
<sst xmlns="http://schemas.openxmlformats.org/spreadsheetml/2006/main" count="1375" uniqueCount="686">
  <si>
    <t>Parcel ID</t>
  </si>
  <si>
    <t>Designation</t>
  </si>
  <si>
    <t>Comments</t>
  </si>
  <si>
    <t>Parcel Address</t>
  </si>
  <si>
    <t>Parcel Zipcode</t>
  </si>
  <si>
    <t>Owner</t>
  </si>
  <si>
    <t>Acquired Date</t>
  </si>
  <si>
    <t>Sale Instrument</t>
  </si>
  <si>
    <t>Sale Price</t>
  </si>
  <si>
    <t>Legal Description</t>
  </si>
  <si>
    <t>Acreage</t>
  </si>
  <si>
    <t>Parcel Instrument</t>
  </si>
  <si>
    <t>Parcel Date</t>
  </si>
  <si>
    <t>Council District</t>
  </si>
  <si>
    <t>Land Use</t>
  </si>
  <si>
    <t>Tax Assessed Value</t>
  </si>
  <si>
    <t>Improved Appraised Value</t>
  </si>
  <si>
    <t>Land Appraised Value</t>
  </si>
  <si>
    <t>Sq. Footage</t>
  </si>
  <si>
    <t>non-buildable</t>
  </si>
  <si>
    <t>Available Only To Adjacent Property Owner</t>
  </si>
  <si>
    <t>0 29TH AVE N</t>
  </si>
  <si>
    <t>METRO GOV'T  BT  BACK TAX SALE</t>
  </si>
  <si>
    <t>DB-00005413 0000754</t>
  </si>
  <si>
    <t>PT. LOT 42 L. C. THUSS SUB. BARROW</t>
  </si>
  <si>
    <t>DB-00001972 0000448</t>
  </si>
  <si>
    <t>VACANT RESIDENTIAL LAND</t>
  </si>
  <si>
    <t>709 30TH AVE N</t>
  </si>
  <si>
    <t>DB-00005413 0000758</t>
  </si>
  <si>
    <t>P/O LOT 8 SAM LEE</t>
  </si>
  <si>
    <t>DB-00000371 0000593</t>
  </si>
  <si>
    <t>3109 TORBETT ST</t>
  </si>
  <si>
    <t>DB-00005413 0000770</t>
  </si>
  <si>
    <t>PT LOT 10 A W WILLS SUB BARROW LANDS</t>
  </si>
  <si>
    <t>DB-00003649 0000610</t>
  </si>
  <si>
    <t>0 CREEK ST</t>
  </si>
  <si>
    <t>CR-20131219 0128438</t>
  </si>
  <si>
    <t>PT LOT 22 OLD FAIRGROUNDS</t>
  </si>
  <si>
    <t>CR-00005064 0000485</t>
  </si>
  <si>
    <t>VACANT COMMERCIAL LAND</t>
  </si>
  <si>
    <t>0 ALLISON PL</t>
  </si>
  <si>
    <t>DB-00005413 0000990</t>
  </si>
  <si>
    <t>PT LOT 20 ALLISON SUB</t>
  </si>
  <si>
    <t>DB-00000259 0000290</t>
  </si>
  <si>
    <t>0 WOODMONT BLVD</t>
  </si>
  <si>
    <t>DB-00005414 0000021</t>
  </si>
  <si>
    <t>RESERVED STRIP S OF WOODMONT BLVD, E OF MEMPHIS BRISTOL HWY</t>
  </si>
  <si>
    <t>DB-00000452 0000647</t>
  </si>
  <si>
    <t>0 WESTCREST DR</t>
  </si>
  <si>
    <t>DB-00005760 0000626</t>
  </si>
  <si>
    <t>null</t>
  </si>
  <si>
    <t>E. S. WESTCREST DRIVE S. OF BREWER DRIVE</t>
  </si>
  <si>
    <t>DB-00004583 0000976</t>
  </si>
  <si>
    <t>0 COLEMONT DR</t>
  </si>
  <si>
    <t>CR-20140214 0012984</t>
  </si>
  <si>
    <t>RES PAR B TUSCULUM GARDENS</t>
  </si>
  <si>
    <t>DB-00004720 0000562</t>
  </si>
  <si>
    <t>1601 SCOVEL ST</t>
  </si>
  <si>
    <t>DB-00005916 0000169</t>
  </si>
  <si>
    <t>PT. LOT 30 BRANSFORD RLTY. CO. SUB. HAMILTON TRACT.</t>
  </si>
  <si>
    <t>DB-00004504 0000645</t>
  </si>
  <si>
    <t>2618 ALBION ST</t>
  </si>
  <si>
    <t>DB-00005413 0000714</t>
  </si>
  <si>
    <t>PT. LOT 140 BLOCK 6 HEFFERMAN</t>
  </si>
  <si>
    <t>DB-00003801 0000817</t>
  </si>
  <si>
    <t>2853 CLIFTON AVE</t>
  </si>
  <si>
    <t>DB-00005413 0000762</t>
  </si>
  <si>
    <t>PT. LOT 29 T. M. STEGER SUB. 2ND ADDN.</t>
  </si>
  <si>
    <t>DB-00001324 0000269</t>
  </si>
  <si>
    <t>0 TUCKAHOE DR</t>
  </si>
  <si>
    <t>DB-00005414 0000341</t>
  </si>
  <si>
    <t>PARCEL A SEC 4 KEMPER HGTS</t>
  </si>
  <si>
    <t>DB-00003032 0000261</t>
  </si>
  <si>
    <t>0 LINDEN GRN</t>
  </si>
  <si>
    <t>DB-00008153 0000557</t>
  </si>
  <si>
    <t>PT LOT 144 HERMITAGE HILLS SEC 12</t>
  </si>
  <si>
    <t>PL-00005210 0000119</t>
  </si>
  <si>
    <t>0 JEWEL ST</t>
  </si>
  <si>
    <t>DB-00005414 0000105</t>
  </si>
  <si>
    <t>P/O LOT 33 T. I. WARD RE-SUB. BELLE VIEW</t>
  </si>
  <si>
    <t>DB-00002753 0000615</t>
  </si>
  <si>
    <t>1206 CLINE AVE</t>
  </si>
  <si>
    <t>CR-20100429 0032783</t>
  </si>
  <si>
    <t>PT. LOTS 14, 15 NASHVILLE TRUST COMPANY SUB. T. H. MOORE</t>
  </si>
  <si>
    <t>DB-00001389 0000303</t>
  </si>
  <si>
    <t>2510 MEHARRY BLVD</t>
  </si>
  <si>
    <t>DB-00005569 0000904</t>
  </si>
  <si>
    <t>BLK PT 37 BOYD MCNAIRY</t>
  </si>
  <si>
    <t>DB-00003610 0000307</t>
  </si>
  <si>
    <t>0 HILLCREST DR</t>
  </si>
  <si>
    <t>DB-00005414 0000345</t>
  </si>
  <si>
    <t>W SIDE HILLCREST DR N OF YOWELL AVENUE</t>
  </si>
  <si>
    <t>409 EWING DR</t>
  </si>
  <si>
    <t>CR-20150702 0064009</t>
  </si>
  <si>
    <t>PT LOT 5 LAVERNGE ACRES</t>
  </si>
  <si>
    <t>DB-00002883 0000474</t>
  </si>
  <si>
    <t>0 SHELTON AVE</t>
  </si>
  <si>
    <t>CR-20030318 0035829</t>
  </si>
  <si>
    <t>PT LOT 4 BLK D INGLEWOOD GOLF CLUB SUB</t>
  </si>
  <si>
    <t>PL-00004885 0000084</t>
  </si>
  <si>
    <t>0 AMY LYNN DR</t>
  </si>
  <si>
    <t>CR-20091123 0107726</t>
  </si>
  <si>
    <t>W/S AMY LYNN DRIVE S OF OLD HYDES FERRY PIKE</t>
  </si>
  <si>
    <t>PL-00005200 0000008</t>
  </si>
  <si>
    <t>VACANT RURAL LAND</t>
  </si>
  <si>
    <t>1921 15TH AVE N</t>
  </si>
  <si>
    <t>CR-20080125 0007941</t>
  </si>
  <si>
    <t>PT LOT 43 MENEES SUB</t>
  </si>
  <si>
    <t>DB-00004552 0000106</t>
  </si>
  <si>
    <t>0 BUCHANAN ST</t>
  </si>
  <si>
    <t>DB-00005413 0000466</t>
  </si>
  <si>
    <t>PT. LOT 291 NORTH NASH. REAL ESTATE CO.</t>
  </si>
  <si>
    <t>WB-00000067 0000016</t>
  </si>
  <si>
    <t>1601 WHELESS ST</t>
  </si>
  <si>
    <t>DB-00009814 0000302</t>
  </si>
  <si>
    <t>PT LOT 370 D T MCGAVOCK ADDN</t>
  </si>
  <si>
    <t>DB-00004392 0000106</t>
  </si>
  <si>
    <t>1514 12TH AVE N</t>
  </si>
  <si>
    <t>DB-00010640 0000862</t>
  </si>
  <si>
    <t>N SIDE OF 12TH AVE NO E OF COCKRILL ST</t>
  </si>
  <si>
    <t>DB-00004209 0000527</t>
  </si>
  <si>
    <t>0 BRILEY PKWY</t>
  </si>
  <si>
    <t>CR-20140214 0012995</t>
  </si>
  <si>
    <t>E/S BRILEY PARKWAY</t>
  </si>
  <si>
    <t>DB-00005091 0000122</t>
  </si>
  <si>
    <t>2706 EDEN ST</t>
  </si>
  <si>
    <t>DB-20001204 0118510</t>
  </si>
  <si>
    <t>PT. LOT 210 BLK. 12 HEFFERMAN</t>
  </si>
  <si>
    <t>DB-00001139 0000082</t>
  </si>
  <si>
    <t>2817 CLARE AVE</t>
  </si>
  <si>
    <t>CR-20140214 0012987</t>
  </si>
  <si>
    <t>PT. LOTS 5 &amp; 6 FISK UNIV. PLACE</t>
  </si>
  <si>
    <t>DB-00003498 0000579</t>
  </si>
  <si>
    <t>0 BATAVIA ST</t>
  </si>
  <si>
    <t>0 GREEN ST</t>
  </si>
  <si>
    <t>DB-19991229 0307940</t>
  </si>
  <si>
    <t>PT LOT 10 BLK B HERMITAGE ADDN</t>
  </si>
  <si>
    <t>DB-00002998 0000029</t>
  </si>
  <si>
    <t>66 FAIN ST</t>
  </si>
  <si>
    <t>DB-20030226 0025834</t>
  </si>
  <si>
    <t>PT LOTS 118 &amp; 119 MAURY &amp; CLAIBORNE ADDN</t>
  </si>
  <si>
    <t>DB-00003312 0000599</t>
  </si>
  <si>
    <t>PT LOT 1 BLK F HERMITAGE ADDN</t>
  </si>
  <si>
    <t>45 FAIRFIELD AVE</t>
  </si>
  <si>
    <t>CR-20130909 0095038</t>
  </si>
  <si>
    <t>DB-00004758 0000626</t>
  </si>
  <si>
    <t>0 OWENDALE DR</t>
  </si>
  <si>
    <t>CR-20140311 0020387</t>
  </si>
  <si>
    <t>RES. PAR. EDGE-O-LAKE EST. SEC. 18</t>
  </si>
  <si>
    <t>DB-00004699 0000831</t>
  </si>
  <si>
    <t>54 WHARF AVE</t>
  </si>
  <si>
    <t>DB-00008249 0000430</t>
  </si>
  <si>
    <t>PT LOT 36 UNIVERSITY SUB</t>
  </si>
  <si>
    <t>DB-00009043 0000519</t>
  </si>
  <si>
    <t>0 SWINGING BRIDGE RD</t>
  </si>
  <si>
    <t>DB-00009931 0000451</t>
  </si>
  <si>
    <t>N W COR OLD HICKORY BLVD &amp; SWINGING BRIDGE RD</t>
  </si>
  <si>
    <t>DB-00000749 0000249</t>
  </si>
  <si>
    <t>0 SAUNDERS AVE</t>
  </si>
  <si>
    <t>CR-20090928 0090028</t>
  </si>
  <si>
    <t>S.W. CORNER SAUNDERS AVE AND WALTON LANE</t>
  </si>
  <si>
    <t>DB-20000310 0025076</t>
  </si>
  <si>
    <t>0 VISTAVIEW DR</t>
  </si>
  <si>
    <t>DB-20010824 0091885</t>
  </si>
  <si>
    <t>STRIP BUENA VISTA EST. SEC 2</t>
  </si>
  <si>
    <t>DB-00004879 0000447</t>
  </si>
  <si>
    <t>2901 LYNDALE DR</t>
  </si>
  <si>
    <t>DB-00010640 0000843</t>
  </si>
  <si>
    <t>P/O LOT 132 HILLHURST ACRES SEC 4</t>
  </si>
  <si>
    <t>DB-00003405 0000301</t>
  </si>
  <si>
    <t>0 ATWELL DR</t>
  </si>
  <si>
    <t>DB-00007391 0000519</t>
  </si>
  <si>
    <t>E/S OF ATWELL DRIVE, N. OF RINGGOLD DRIVE</t>
  </si>
  <si>
    <t>DB-00003675 0000522</t>
  </si>
  <si>
    <t>0 COOPER TER</t>
  </si>
  <si>
    <t>CR-20140214 0012983</t>
  </si>
  <si>
    <t>RES PAR A COOPER LANE ESTATES</t>
  </si>
  <si>
    <t>PL-00005200 0000567</t>
  </si>
  <si>
    <t>1506 JEWEL ST</t>
  </si>
  <si>
    <t>DB-00005414 0000121</t>
  </si>
  <si>
    <t>PT. LOT 6 DAN LEECH SUB.</t>
  </si>
  <si>
    <t>DB-00001727 0000236</t>
  </si>
  <si>
    <t>1827 6TH AVE N</t>
  </si>
  <si>
    <t>DB-00005413 0000458</t>
  </si>
  <si>
    <t>LOT PT 438 NORTH NASH REAL ESTATE CO</t>
  </si>
  <si>
    <t>DB-00001148 0000078</t>
  </si>
  <si>
    <t>1310 16TH AVE N</t>
  </si>
  <si>
    <t>DB-00005413 0000578</t>
  </si>
  <si>
    <t>PT LOT 323 D T MCGAVOCK &amp; OTHERS ADDN</t>
  </si>
  <si>
    <t>DB-00001072 0000644</t>
  </si>
  <si>
    <t>CR-20140214 0012980</t>
  </si>
  <si>
    <t>PT LOT 72 T.M. STEGER</t>
  </si>
  <si>
    <t>DB-00007917 0000733</t>
  </si>
  <si>
    <t>0 JOHNSON AVE</t>
  </si>
  <si>
    <t>CR-20131219 0128440</t>
  </si>
  <si>
    <t>DB-00000221 0000226</t>
  </si>
  <si>
    <t>VACANT INDUSTRIAL LAND</t>
  </si>
  <si>
    <t>CR-20131219 0128452</t>
  </si>
  <si>
    <t>PT LOTS 22 25 OLD FAIRGROUNDS</t>
  </si>
  <si>
    <t>DB-00000239 0000565</t>
  </si>
  <si>
    <t>CR-20131219 0128450</t>
  </si>
  <si>
    <t>PT LOT 25 OLD FAIRGROUNDS</t>
  </si>
  <si>
    <t>DB-00000484 0000332</t>
  </si>
  <si>
    <t>CR-20131219 0128453</t>
  </si>
  <si>
    <t>PT LOT 25 OLD FIARGROUNDS</t>
  </si>
  <si>
    <t>DB-00000214 0000333</t>
  </si>
  <si>
    <t>0 WEMBERTON DR</t>
  </si>
  <si>
    <t>CR-20131219 0128429</t>
  </si>
  <si>
    <t>RES PAR RE-SUB LARCHWOOD SEC. 2</t>
  </si>
  <si>
    <t>PL-00005200 0000208</t>
  </si>
  <si>
    <t>0 STIRRUP DR</t>
  </si>
  <si>
    <t>DB-19991223 0306439</t>
  </si>
  <si>
    <t>RES. A. WALNUT HILL MANOR SEC. 2</t>
  </si>
  <si>
    <t>DB-00003935 0000104</t>
  </si>
  <si>
    <t>0 WHARTON DR</t>
  </si>
  <si>
    <t>DB-00009440 0000142</t>
  </si>
  <si>
    <t>RES PAR A" BAKERTOWN GARDENS SEC 2"</t>
  </si>
  <si>
    <t>PL-00006250 0000147</t>
  </si>
  <si>
    <t>DB-00005760 0000634</t>
  </si>
  <si>
    <t>LOT N RESUB LOT A PLAN OF MCMURRAY HILLS</t>
  </si>
  <si>
    <t>DB-00004454 0000484</t>
  </si>
  <si>
    <t>0 AIR LANE DR</t>
  </si>
  <si>
    <t>CR-20100429 0032781</t>
  </si>
  <si>
    <t>S/E COR AIR LANE DR &amp; ELM HILL PK</t>
  </si>
  <si>
    <t>PL-00005800 0000359</t>
  </si>
  <si>
    <t>0 18TH AVE N</t>
  </si>
  <si>
    <t>DB-00005414 0000037</t>
  </si>
  <si>
    <t>RES. PAR. A RIVERVIEW GARDENS SEC. 2</t>
  </si>
  <si>
    <t>DB-00003994 0000734</t>
  </si>
  <si>
    <t>0 CLAY LICK CT</t>
  </si>
  <si>
    <t>CR-20090928 0090027</t>
  </si>
  <si>
    <t>S SIDE CLAYLICK COURT W OF LICKTON PIKE</t>
  </si>
  <si>
    <t>OR-00081543 0000000</t>
  </si>
  <si>
    <t>220 SHAKESPEARE AVE</t>
  </si>
  <si>
    <t>CR-20060418 0044147</t>
  </si>
  <si>
    <t>LOT 11 BLK F EDENWOLD CITY SUB</t>
  </si>
  <si>
    <t>DB-00004293 0000657</t>
  </si>
  <si>
    <t>0 APPLE VALLEY RD</t>
  </si>
  <si>
    <t>CR-20131022 0110193</t>
  </si>
  <si>
    <t>N E CORNER WOODLAKE DR. &amp; APPLE VALLEY RD</t>
  </si>
  <si>
    <t>DB-00003400 0000599</t>
  </si>
  <si>
    <t>810 W TRINITY LN</t>
  </si>
  <si>
    <t>DB-20000313 0025685</t>
  </si>
  <si>
    <t>LOT 187 HAYNIES REPUBLICAN PLAN</t>
  </si>
  <si>
    <t>DB-00008281 0000950</t>
  </si>
  <si>
    <t>0 MANILA AVE</t>
  </si>
  <si>
    <t>DB-00008153 0000482</t>
  </si>
  <si>
    <t>P/O LOT 20 JAS BURNS &amp; P/O CL.ST.</t>
  </si>
  <si>
    <t>DB-00004441 0000196</t>
  </si>
  <si>
    <t>1403 14TH AVE N</t>
  </si>
  <si>
    <t>DB-00007391 0000534</t>
  </si>
  <si>
    <t>PT. LOT 250 D. T. MCGAVOCK &amp; OTHERS ADDN.</t>
  </si>
  <si>
    <t>DB-00004550 0000454</t>
  </si>
  <si>
    <t>0 12TH AVE S</t>
  </si>
  <si>
    <t>DB-00005413 0000874</t>
  </si>
  <si>
    <t>PT LOT 336 RESUB BELMONT LAND CO</t>
  </si>
  <si>
    <t>DB-00000467 0000576</t>
  </si>
  <si>
    <t>0 BELL TRACE DR</t>
  </si>
  <si>
    <t>CR-20130822 0088820</t>
  </si>
  <si>
    <t>RES PAR HICKORY PARK VILLAS  SEC 2</t>
  </si>
  <si>
    <t>PL-00005200 0000603</t>
  </si>
  <si>
    <t>1829 LIBERIA ST</t>
  </si>
  <si>
    <t>CR-20090928 0090021</t>
  </si>
  <si>
    <t>PT LOT 1 SCRUGGS SUB, LOTS 26 27 28 OF BROOKLYN PLAN</t>
  </si>
  <si>
    <t>DB-00004886 0000606</t>
  </si>
  <si>
    <t>0 RENEE DR</t>
  </si>
  <si>
    <t>DB-00004940 0000766</t>
  </si>
  <si>
    <t>PT LOTS 39 &amp; 40 SEC 2 SUNNY ACRES</t>
  </si>
  <si>
    <t>DB-00004354 0000241</t>
  </si>
  <si>
    <t>1514 14TH AVE N</t>
  </si>
  <si>
    <t>DB-20001101 0108185</t>
  </si>
  <si>
    <t>PT LOT 220 D T MCGAVOCK AND OTHERS ADDN</t>
  </si>
  <si>
    <t>DB-00002038 0000562</t>
  </si>
  <si>
    <t>908 28TH AVE N</t>
  </si>
  <si>
    <t>DB-00008153 0000527</t>
  </si>
  <si>
    <t>E/S 28TH AVE NO N OF HERMAN ST PT BLK 21 HEFFERMAN PLACE</t>
  </si>
  <si>
    <t>DB-00002495 0000401</t>
  </si>
  <si>
    <t>107 IMPERIAL DR</t>
  </si>
  <si>
    <t>CR-20130822 0088816</t>
  </si>
  <si>
    <t>LOT PT 15 MERTIE MILWEE</t>
  </si>
  <si>
    <t>DB-00002590 0000389</t>
  </si>
  <si>
    <t>2222 SADLER AVE</t>
  </si>
  <si>
    <t>DB-00005413 0000986</t>
  </si>
  <si>
    <t>PT LOT 54 G. P. ROSE</t>
  </si>
  <si>
    <t>DB-00001472 0000009</t>
  </si>
  <si>
    <t>113 HAYNES PARK DR</t>
  </si>
  <si>
    <t>CR-20090928 0090017</t>
  </si>
  <si>
    <t>RES. PAR. HAYNES PARK SUB SEC 1</t>
  </si>
  <si>
    <t>DB-00004451 0000194</t>
  </si>
  <si>
    <t>0 COMBS DR</t>
  </si>
  <si>
    <t>DB-00008153 0000587</t>
  </si>
  <si>
    <t>LOT RES. B TRINITY HILLS VILLAGE SEC. 1 2ND. ADDN.</t>
  </si>
  <si>
    <t>DB-00004231 0000191</t>
  </si>
  <si>
    <t>DB-00005414 0000113</t>
  </si>
  <si>
    <t>P/O LOT 34 T. I. WARD, RESUB. BELLE VIEW</t>
  </si>
  <si>
    <t>DB-00001645 0000043</t>
  </si>
  <si>
    <t>8 CANNON ST</t>
  </si>
  <si>
    <t>DB-20020313 0031562</t>
  </si>
  <si>
    <t>PT LOTS 197 198 &amp; 199, MAURY &amp; CLAIBORNE ADDN</t>
  </si>
  <si>
    <t>DB-00004821 0000689</t>
  </si>
  <si>
    <t>105 IMPERIAL DR</t>
  </si>
  <si>
    <t>CR-20130822 0088817</t>
  </si>
  <si>
    <t>LOT PT 16 MERTIE MILWEE</t>
  </si>
  <si>
    <t>DB-00002591 0000077</t>
  </si>
  <si>
    <t>0 VILLAGE WAY</t>
  </si>
  <si>
    <t>CR-20140311 0020388</t>
  </si>
  <si>
    <t>RES PAR-VILLAGES OF BRENTWOOD-PHASE 1</t>
  </si>
  <si>
    <t>PL-00005200 0000613</t>
  </si>
  <si>
    <t>0 FREE SILVER RD</t>
  </si>
  <si>
    <t>DB-00005413 0000430</t>
  </si>
  <si>
    <t>LOT 144 HAYNIES REPUBLICAN PLAN</t>
  </si>
  <si>
    <t>DB-00000280 0000260</t>
  </si>
  <si>
    <t>0 WOODSIDE DR</t>
  </si>
  <si>
    <t>DB-00008153 0000539</t>
  </si>
  <si>
    <t>RES PAR B WOODSIDE SUB SEC 2</t>
  </si>
  <si>
    <t>PL-00005200 0000664</t>
  </si>
  <si>
    <t>0 CAPITAL ST</t>
  </si>
  <si>
    <t>CR-20130822 0088818</t>
  </si>
  <si>
    <t>PT LOTS 14 16 18 20 22 &amp; 24, HADLEY BEND CITY BLK W</t>
  </si>
  <si>
    <t>DB-00003220 0000004</t>
  </si>
  <si>
    <t>0 OLD MATTHEWS RD</t>
  </si>
  <si>
    <t>CR-20090928 0090029</t>
  </si>
  <si>
    <t>RES PAR A MATTHEWS SQUARE</t>
  </si>
  <si>
    <t>PL-00006250 0000337</t>
  </si>
  <si>
    <t>0 MCGAVOCK PIKE</t>
  </si>
  <si>
    <t>CR-20110419 0030285</t>
  </si>
  <si>
    <t>RES PAR A" CUMBERLAND TRACE"</t>
  </si>
  <si>
    <t>PL-00005200 0000700</t>
  </si>
  <si>
    <t>CR-20131219 0128439</t>
  </si>
  <si>
    <t>DB-00000181 0000099</t>
  </si>
  <si>
    <t>0 WOODMONT CIR</t>
  </si>
  <si>
    <t>DB-00005414 0000009</t>
  </si>
  <si>
    <t>RESERVED 10 STRIP KENNER MANOR</t>
  </si>
  <si>
    <t>0 MCKINLEY ST</t>
  </si>
  <si>
    <t>DB-00008543 0000930</t>
  </si>
  <si>
    <t>PT LOTS 158 &amp; 159 HAYNIES REPUBLICAN PLAN</t>
  </si>
  <si>
    <t>DB-00008493 0000622</t>
  </si>
  <si>
    <t>0 HICKORY PARK DR</t>
  </si>
  <si>
    <t>CR-20130822 0088821</t>
  </si>
  <si>
    <t>RES PAR HICKORY PARK VILLAS SEC 3 RE-SUB</t>
  </si>
  <si>
    <t>PL-00006250 0000768</t>
  </si>
  <si>
    <t>0 BRICK CT</t>
  </si>
  <si>
    <t>CR-20131022 0110196</t>
  </si>
  <si>
    <t>OPEN SPACE FIELDS OF BRICK CHURCH</t>
  </si>
  <si>
    <t>PL-20040604 0065967</t>
  </si>
  <si>
    <t>2930 WARRICK DR</t>
  </si>
  <si>
    <t>CR-20100429 0032778</t>
  </si>
  <si>
    <t>PT LOT 142 SEC 4 HILLHURST ACRES</t>
  </si>
  <si>
    <t>DB-00003825 0000008</t>
  </si>
  <si>
    <t>0 ROWAN DR</t>
  </si>
  <si>
    <t>DB-00010640 0000838</t>
  </si>
  <si>
    <t>RES. PAR A HAYNES MANOR SEC. 4</t>
  </si>
  <si>
    <t>0 OLD HICKORY BLVD</t>
  </si>
  <si>
    <t>CR-20150702 0064016</t>
  </si>
  <si>
    <t>RES PAR B SOUTHFORK SEC 1</t>
  </si>
  <si>
    <t>PL-00006250 0000384</t>
  </si>
  <si>
    <t>0 BETHWOOD DR</t>
  </si>
  <si>
    <t>DB-00007391 0000525</t>
  </si>
  <si>
    <t>LOT RES B" SHEPARDWOOD SUB. SEC 2"</t>
  </si>
  <si>
    <t>DB-00004511 0000275</t>
  </si>
  <si>
    <t>0 BLUE RIDGE DR</t>
  </si>
  <si>
    <t>DB-00005414 0000125</t>
  </si>
  <si>
    <t>PT. LOT 35 T. I. WARD RESUB. BELLE VIEW</t>
  </si>
  <si>
    <t>DB-00001644 0000357</t>
  </si>
  <si>
    <t>0 CARTER AVE</t>
  </si>
  <si>
    <t>CR-20140214 0012979</t>
  </si>
  <si>
    <t>N. OF CARTER AVE.E. OF CAMPBELL AVE. P/O GREGORY HEIGHTS SUB</t>
  </si>
  <si>
    <t>DB-00004744 0000340</t>
  </si>
  <si>
    <t>0 STRATFORD AVE</t>
  </si>
  <si>
    <t>CR-20110419 0030284</t>
  </si>
  <si>
    <t>PT LOT 245 INGLEWOOD PLACE</t>
  </si>
  <si>
    <t>DB-00000689 0000363</t>
  </si>
  <si>
    <t>419 WOODFOLK AVE</t>
  </si>
  <si>
    <t>CR-20120522 0044326</t>
  </si>
  <si>
    <t>LOT 71 HAYNIES DUDLEY BELL SUB</t>
  </si>
  <si>
    <t>CO-20070328 0036759</t>
  </si>
  <si>
    <t>0 CATO RD</t>
  </si>
  <si>
    <t>CR-20111219 0098673</t>
  </si>
  <si>
    <t>E. SIDE CATO RD. N. OF HYDES FERRY PIKE</t>
  </si>
  <si>
    <t>QC-00009278 0000197</t>
  </si>
  <si>
    <t>920 SHARPE AVE</t>
  </si>
  <si>
    <t>DB-00005413 0000902</t>
  </si>
  <si>
    <t>PT LOT 43 41 W H HYRONEMUS ADDN</t>
  </si>
  <si>
    <t>DB-00003929 0000431</t>
  </si>
  <si>
    <t>223 CENTER ST</t>
  </si>
  <si>
    <t>DB-00005414 0000277</t>
  </si>
  <si>
    <t>LOTS 1 AND 2 BLK M HADLEY BEND CITY</t>
  </si>
  <si>
    <t>DB-00002014 0000173</t>
  </si>
  <si>
    <t>421 WOODFOLK AVE</t>
  </si>
  <si>
    <t>CR-20120109 0002181</t>
  </si>
  <si>
    <t>PT 70 HAYNIES DUDLEY BELL SUB</t>
  </si>
  <si>
    <t>2401 BAKER RD</t>
  </si>
  <si>
    <t>CR-20131022 0110197</t>
  </si>
  <si>
    <t>E. S. BAKERS ROAD N. OF LICKTON PIKE</t>
  </si>
  <si>
    <t>DB-00003894 0000512</t>
  </si>
  <si>
    <t>OR-00081783 0000000</t>
  </si>
  <si>
    <t>169 OLD HERMITAGE AVE</t>
  </si>
  <si>
    <t>CR-20110419 0030277</t>
  </si>
  <si>
    <t>LOT 38 MAURY &amp; CLAIRBORNE ADDN</t>
  </si>
  <si>
    <t>DB-00001906 0000405</t>
  </si>
  <si>
    <t>0 LYNNWOOD BLVD</t>
  </si>
  <si>
    <t>DB-00005414 0000413</t>
  </si>
  <si>
    <t>PT RES PAR OF RE-SUB CHICKERING PARK SEC. 3</t>
  </si>
  <si>
    <t>DB-00004229 0000961</t>
  </si>
  <si>
    <t>0 EZELL RD</t>
  </si>
  <si>
    <t>CR-20100913 0072826</t>
  </si>
  <si>
    <t>S/S EZELL RD E OF BAKERTOWN RD</t>
  </si>
  <si>
    <t>QC-00009476 0000465</t>
  </si>
  <si>
    <t>0 ALLENWOOD DR</t>
  </si>
  <si>
    <t>CR-20131219 0128451</t>
  </si>
  <si>
    <t>RES. PAR. D SHEPARDWOOD SUB. SEC. 1</t>
  </si>
  <si>
    <t>DB-00003374 0000599</t>
  </si>
  <si>
    <t>2907 BOOKER ST</t>
  </si>
  <si>
    <t>CR-20090928 0090023</t>
  </si>
  <si>
    <t>PT. LOT 65 L. C. THUSS SUB. BARROW</t>
  </si>
  <si>
    <t>DB-00002393 0000556</t>
  </si>
  <si>
    <t>0 RIDGEFIELD CT</t>
  </si>
  <si>
    <t>DB-00005414 0000001</t>
  </si>
  <si>
    <t>RESERVED STRIP N OF WOODMONT BLVD, E OF MEMPHIS BRISTOL HWY</t>
  </si>
  <si>
    <t>0 PUTNAM DR</t>
  </si>
  <si>
    <t>CR-20131022 0110199</t>
  </si>
  <si>
    <t>RESERVED LOT ROYAL HILLS SEC 3</t>
  </si>
  <si>
    <t>PL-00004860 0000047</t>
  </si>
  <si>
    <t>47 AVALON LN</t>
  </si>
  <si>
    <t>CR-20140214 0012981</t>
  </si>
  <si>
    <t>E SIDE AVALON DR S OF OLD VISTA LN</t>
  </si>
  <si>
    <t>DB-00002138 0000559</t>
  </si>
  <si>
    <t>31 AVALON LN</t>
  </si>
  <si>
    <t>CR-20131219 0128433</t>
  </si>
  <si>
    <t>DB-00001913 0000363</t>
  </si>
  <si>
    <t>0 BAKER RD</t>
  </si>
  <si>
    <t>CR-20131022 0110195</t>
  </si>
  <si>
    <t>ES BAKER RD N OF LICKTON PK</t>
  </si>
  <si>
    <t>DB-00003865 0000615</t>
  </si>
  <si>
    <t>2396 BAKER RD</t>
  </si>
  <si>
    <t>CR-20131022 0110194</t>
  </si>
  <si>
    <t>E/S BAKERS ROAD N OF BAKER STATION RD.</t>
  </si>
  <si>
    <t>DB-00003836 0000212</t>
  </si>
  <si>
    <t>0 DABBS AVE</t>
  </si>
  <si>
    <t>DB-00005413 0000910</t>
  </si>
  <si>
    <t>LOT 234 SEC 2 BEL AIR</t>
  </si>
  <si>
    <t>DB-00003101 0000474</t>
  </si>
  <si>
    <t>530 31ST AVE N</t>
  </si>
  <si>
    <t>CR-20050309 0026273</t>
  </si>
  <si>
    <t>LOT 52 PENDLETON SUB STEGER HOME</t>
  </si>
  <si>
    <t>DB-00002860 0000142</t>
  </si>
  <si>
    <t>0 W VALLEY DR</t>
  </si>
  <si>
    <t>CR-20120224 0016345</t>
  </si>
  <si>
    <t>S SIDE WEST VALLEY DR &amp; W OF CREEKSIDE DR SEC 4 LOCUSTWOOD</t>
  </si>
  <si>
    <t>DB-00001283 0000055</t>
  </si>
  <si>
    <t>356 LARKIN SPRINGS RD</t>
  </si>
  <si>
    <t>CR-20041119 0139103</t>
  </si>
  <si>
    <t>W OF LARKIN SPRINGS ROAD, NORTH OF SANITARIUM ROAD</t>
  </si>
  <si>
    <t>DB-00001315 0000246</t>
  </si>
  <si>
    <t>DB-00000000 0000000</t>
  </si>
  <si>
    <t>0 OLD CLARKSVILLE PIKE</t>
  </si>
  <si>
    <t>CR-20100429 0032789</t>
  </si>
  <si>
    <t>S/S OLD CLARKSVILLE PIKE W. OF CLARKSVILLE PIKE</t>
  </si>
  <si>
    <t>DB-00000425 0000475</t>
  </si>
  <si>
    <t>1716 WOODLAND ST</t>
  </si>
  <si>
    <t>CR-20070209 0017340</t>
  </si>
  <si>
    <t>PT LOT 9 RICHARDSON PLACE</t>
  </si>
  <si>
    <t>DB-00003817 0000773</t>
  </si>
  <si>
    <t>4984 BULL RUN RD</t>
  </si>
  <si>
    <t>CR-20030318 0035832</t>
  </si>
  <si>
    <t>N OF BULL RUN RD W OF OLD HICKORY BLVD</t>
  </si>
  <si>
    <t>DB-00009923 0000774</t>
  </si>
  <si>
    <t>0 DULUTH AVE</t>
  </si>
  <si>
    <t>CR-20100429 0032788</t>
  </si>
  <si>
    <t>PT LOT 21 WESTOVER RESUB OF COCKRILL</t>
  </si>
  <si>
    <t>DB-00004290 0000113</t>
  </si>
  <si>
    <t>0 CLARKSVILLE PIKE</t>
  </si>
  <si>
    <t>CR-20030318 0035831</t>
  </si>
  <si>
    <t>S. SIDE CLARKSVILLE PIKE E. OF DOUGLAS ROAD</t>
  </si>
  <si>
    <t>DB-00004005 0000968</t>
  </si>
  <si>
    <t>0 HUNTERS POINT CT</t>
  </si>
  <si>
    <t>CR-20090928 0090019</t>
  </si>
  <si>
    <t>RES PAR  HUNTER'S POINT SUB</t>
  </si>
  <si>
    <t>PL-00005200 0000736</t>
  </si>
  <si>
    <t>CR-20131219 0128435</t>
  </si>
  <si>
    <t>E/S MCGAVOCK PK S OF MURFREESBORO RD</t>
  </si>
  <si>
    <t>DB-00008273 0000877</t>
  </si>
  <si>
    <t>DB-00004481 0000117</t>
  </si>
  <si>
    <t>305 HOMESTEAD RD</t>
  </si>
  <si>
    <t>CR-20131219 0128437</t>
  </si>
  <si>
    <t>L PT B 10 AND PT B 11 TAMBLE SUBD</t>
  </si>
  <si>
    <t>DB-00002098 0000510</t>
  </si>
  <si>
    <t>0 DICKERSON PIKE</t>
  </si>
  <si>
    <t>CR-20131022 0110200</t>
  </si>
  <si>
    <t>E OF DICKERSON PIKE AND, S OF NORTH DUE WEST AVENUE</t>
  </si>
  <si>
    <t>DB-00003219 0000303</t>
  </si>
  <si>
    <t>0 CONWAY ST</t>
  </si>
  <si>
    <t>CR-20150702 0064008</t>
  </si>
  <si>
    <t>E SIDE CONWAY ST N OF URBANDALE AVENUE</t>
  </si>
  <si>
    <t>DB-00004746 0000986</t>
  </si>
  <si>
    <t>1240 LEWIS ST</t>
  </si>
  <si>
    <t>CR-20140214 0012989</t>
  </si>
  <si>
    <t>PT LOT 24 OLD FAIRGROUNDS</t>
  </si>
  <si>
    <t>DB-00004162 0000503</t>
  </si>
  <si>
    <t>5789 RIVER RD</t>
  </si>
  <si>
    <t>CR-20041217 0150468</t>
  </si>
  <si>
    <t>S SIDE RIVER RD W OF OLD CHARLOTTE PK</t>
  </si>
  <si>
    <t>DB-00004226 0000679</t>
  </si>
  <si>
    <t>0 KNIGHT DR</t>
  </si>
  <si>
    <t>CR-20131219 0128444</t>
  </si>
  <si>
    <t>E SIDE KNIGHT DR &amp; N OF OLD VISTA LN</t>
  </si>
  <si>
    <t>DB-00002929 0000149</t>
  </si>
  <si>
    <t>0 HICKORY HOLLOW PKWY</t>
  </si>
  <si>
    <t>DB-00005760 0000662</t>
  </si>
  <si>
    <t>E/S HICKORY HOLLOW PKWY S OF MT. VIEW ROAD</t>
  </si>
  <si>
    <t>OR-00077642 0000000</t>
  </si>
  <si>
    <t>2522 TINNIN RD</t>
  </si>
  <si>
    <t>CR-20120330 0027177</t>
  </si>
  <si>
    <t>E OF TINNIN RD N OF BAKER STATION RD</t>
  </si>
  <si>
    <t>OR-00092332 0000000</t>
  </si>
  <si>
    <t>0 TRANHAM RD</t>
  </si>
  <si>
    <t>CR-20131219 0128434</t>
  </si>
  <si>
    <t>N/S TRANTHAM ROAD E OF WHITES CREEK PIKE</t>
  </si>
  <si>
    <t>DB-00007862 0000971</t>
  </si>
  <si>
    <t>204 PORT DR</t>
  </si>
  <si>
    <t>CR-20131219 0128445</t>
  </si>
  <si>
    <t>LOT 101 SEC 3 SHERRY HGTS</t>
  </si>
  <si>
    <t>DB-00004500 0000266</t>
  </si>
  <si>
    <t>455 METROPLEX DR</t>
  </si>
  <si>
    <t>CR-20120224 0016347</t>
  </si>
  <si>
    <t>LOT 2 METROPLEX SEC 12</t>
  </si>
  <si>
    <t>PL-00006050 0000355</t>
  </si>
  <si>
    <t>1304 KATIE AVE</t>
  </si>
  <si>
    <t>CR-20130822 0088824</t>
  </si>
  <si>
    <t>LOT 101 THRU 105 109 THRU 113 J. B. HAYNES CUMBERLAND HTS</t>
  </si>
  <si>
    <t>DB-00004373 0000292</t>
  </si>
  <si>
    <t>NURSING HOME</t>
  </si>
  <si>
    <t>2119 24TH AVE N</t>
  </si>
  <si>
    <t>CR-20130822 0088819</t>
  </si>
  <si>
    <t>PT LOT 16 I A FORD SUB NICHOL</t>
  </si>
  <si>
    <t>DB-00000324 0000015</t>
  </si>
  <si>
    <t>0 MANSKER DR</t>
  </si>
  <si>
    <t>CR-20131219 0128442</t>
  </si>
  <si>
    <t>S/S L &amp; N R. R. E. OF MANSKER DRIVE</t>
  </si>
  <si>
    <t>DB-00002300 0000087</t>
  </si>
  <si>
    <t>Offered Only To Adjacent Property Owner</t>
  </si>
  <si>
    <t>1107 MCFERRIN AVE</t>
  </si>
  <si>
    <t>DB-00005413 0000882</t>
  </si>
  <si>
    <t>P/O LOT 44 W. H. HYRONEMUS ADDN.</t>
  </si>
  <si>
    <t>DB-00000609 0000067</t>
  </si>
  <si>
    <t>1615 10TH AVE N</t>
  </si>
  <si>
    <t>DB-00005413 0000506</t>
  </si>
  <si>
    <t>PT LOT 274 MCGAVOCKS TOWN NO NASHVILLE</t>
  </si>
  <si>
    <t>DB-00003404 0000200</t>
  </si>
  <si>
    <t>0 SUNNYVIEW DR</t>
  </si>
  <si>
    <t>DB-20010824 0091886</t>
  </si>
  <si>
    <t>RES. PAR. E". BUENA VISTA EST. SEC. 6A"</t>
  </si>
  <si>
    <t>DB-00004621 0000939</t>
  </si>
  <si>
    <t>0 BRUNSWICK DR</t>
  </si>
  <si>
    <t>DB-00005524 0000040</t>
  </si>
  <si>
    <t>RESERVED STRIP CAPITOL VIEW SUB</t>
  </si>
  <si>
    <t>0 WOODFOLK AVE</t>
  </si>
  <si>
    <t>CR-20150702 0064014</t>
  </si>
  <si>
    <t>PT LOT 74 HAYNIES DUDLEY BELL SUB</t>
  </si>
  <si>
    <t>DB-00010105 0000226</t>
  </si>
  <si>
    <t>0 WARD ST</t>
  </si>
  <si>
    <t>DB-00005414 0000129</t>
  </si>
  <si>
    <t>PT. LOT 7 DAN LEECH SUB.</t>
  </si>
  <si>
    <t>DB-00003133 0000064</t>
  </si>
  <si>
    <t>DB-00005414 0000097</t>
  </si>
  <si>
    <t>P/O LOT 32 T. I. WARD RESUB. BELLE VIEW</t>
  </si>
  <si>
    <t>DB-00001732 0000151</t>
  </si>
  <si>
    <t>893 GRANADA AVE</t>
  </si>
  <si>
    <t>DB-00005760 0000590</t>
  </si>
  <si>
    <t>P/O LOT 3 CARTER LANE PLACE</t>
  </si>
  <si>
    <t>DB-00003851 0000781</t>
  </si>
  <si>
    <t>0 9TH AVE N</t>
  </si>
  <si>
    <t>DB-00011150 0000265</t>
  </si>
  <si>
    <t>PT LOT 279 NORTH NASH REAL ESTATE CO</t>
  </si>
  <si>
    <t>DB-00001225 0000080</t>
  </si>
  <si>
    <t>1714 9TH AVE N</t>
  </si>
  <si>
    <t>DB-00005413 0000474</t>
  </si>
  <si>
    <t>PT. LOT 281 NORTH NASH. REAL ESTATE CO.</t>
  </si>
  <si>
    <t>DB-00002702 0000188</t>
  </si>
  <si>
    <t>1712 9TH AVE N</t>
  </si>
  <si>
    <t>DB-00005413 0000470</t>
  </si>
  <si>
    <t>PT. LOT 283 NORTH NASHVILLE REAL ESTATE COMPANY</t>
  </si>
  <si>
    <t>DB-00002695 0000004</t>
  </si>
  <si>
    <t>0 17TH AVE N</t>
  </si>
  <si>
    <t>DB-00005413 0000586</t>
  </si>
  <si>
    <t>PT LOT 370 D T MCGAVOCK &amp; OTHERS ADDN</t>
  </si>
  <si>
    <t>DB-00002332 0000599</t>
  </si>
  <si>
    <t>0 DR WALTER S DAVIS BLVD</t>
  </si>
  <si>
    <t>CR-20130315 0026052</t>
  </si>
  <si>
    <t>S/S JOHN A MERRITT BV W 39TH AV N</t>
  </si>
  <si>
    <t>DB-00006677 0000803</t>
  </si>
  <si>
    <t>Hold for Affordable Housing - Not for Sale</t>
  </si>
  <si>
    <t>1034 A 40TH AVE N</t>
  </si>
  <si>
    <t>CR-20120330 0027182</t>
  </si>
  <si>
    <t>UNIT B V GORDON TOWNHOMES AT 40TH</t>
  </si>
  <si>
    <t>MA-20061011 0126477</t>
  </si>
  <si>
    <t>DB-00005760 0000546</t>
  </si>
  <si>
    <t>RES. PAR. A" TRINITY HILLS VILLAGE SECTION TWO FIRST ADDN"</t>
  </si>
  <si>
    <t>DB-00010368 0000081</t>
  </si>
  <si>
    <t>LOT 220 HAYNIES REPUBLICAN PLAN</t>
  </si>
  <si>
    <t>DB-00004747 0000337</t>
  </si>
  <si>
    <t>1626 12TH AVE N</t>
  </si>
  <si>
    <t>CR-20131022 0110202</t>
  </si>
  <si>
    <t>PT LOT 125 D T MCGAVOCK &amp; OTHERS ADDN</t>
  </si>
  <si>
    <t>DB-00001915 0000358</t>
  </si>
  <si>
    <t>2713 EDEN ST</t>
  </si>
  <si>
    <t>DB-00005413 0000722</t>
  </si>
  <si>
    <t>PT. LOTS 263 &amp; 264 BLOCK 13 HEFFERMAN PLACE &amp; PT CL ALLEY</t>
  </si>
  <si>
    <t>OR-00831175 0000000</t>
  </si>
  <si>
    <t>DB-00005413 0000738</t>
  </si>
  <si>
    <t>PT. LOT 71 L. C. THUSS SUB. BARROW</t>
  </si>
  <si>
    <t>DB-00000873 0000110</t>
  </si>
  <si>
    <t>85 DONELSON ST</t>
  </si>
  <si>
    <t>DB-20020313 0031565</t>
  </si>
  <si>
    <t>PT LOT 8 BLK C HERMITAGE ADDN</t>
  </si>
  <si>
    <t>DB-00001248 0000473</t>
  </si>
  <si>
    <t>883 DOUGLAS AVE</t>
  </si>
  <si>
    <t>DB-00005524 0000080</t>
  </si>
  <si>
    <t>PT. LOT 31 BLK. B REV. L. M. EZELL 12 AC. TRACT</t>
  </si>
  <si>
    <t>DB-00001640 0000005</t>
  </si>
  <si>
    <t>0 FLORA MAXWELL RD</t>
  </si>
  <si>
    <t>CR-20131219 0128448</t>
  </si>
  <si>
    <t>E. OF TAYLOR ROAD N. OF NOLENSVILLE PIKE</t>
  </si>
  <si>
    <t>DB-00005584 0000206</t>
  </si>
  <si>
    <t>4855 GOODWIN RD</t>
  </si>
  <si>
    <t>CR-20150702 0064015</t>
  </si>
  <si>
    <t>W SIDE L &amp; N RR S OF REEVES RD</t>
  </si>
  <si>
    <t>DB-00004040 0000194</t>
  </si>
  <si>
    <t>4053 GRAYS POINT RD</t>
  </si>
  <si>
    <t>CR-20131219 0128436</t>
  </si>
  <si>
    <t>S. S. GRAYS POINT ROAD &amp; W. OF EATONS CREEK ROAD</t>
  </si>
  <si>
    <t>DB-00003916 0000907</t>
  </si>
  <si>
    <t>155 WELWORTH ST</t>
  </si>
  <si>
    <t>CR-20150825 0086020</t>
  </si>
  <si>
    <t>LOT 14 BLK A EASTLAWN</t>
  </si>
  <si>
    <t>DB-00004791 0000974</t>
  </si>
  <si>
    <t>0 DR D B TODD JR BLVD</t>
  </si>
  <si>
    <t>DB-00008153 0000485</t>
  </si>
  <si>
    <t>PT LOT 10 SCRUGGS SUB BOSTICK</t>
  </si>
  <si>
    <t>2703 MORENA ST</t>
  </si>
  <si>
    <t>DB-00005413 0000726</t>
  </si>
  <si>
    <t>PT. LOT 345 BLOCK 20 HEFFERMAN PLACE</t>
  </si>
  <si>
    <t>DB-00003340 0000560</t>
  </si>
  <si>
    <t>0 MARK DR</t>
  </si>
  <si>
    <t>DB-00008543 0000945</t>
  </si>
  <si>
    <t>RES PAR A  VALLEY WEST SEC. 7</t>
  </si>
  <si>
    <t>PL-00005210 0000042</t>
  </si>
  <si>
    <t>1603 SCOVEL ST</t>
  </si>
  <si>
    <t>DB-00005413 0000554</t>
  </si>
  <si>
    <t>PT. LOT 31 REALTY CO. SUB. HAMILTON TRACT</t>
  </si>
  <si>
    <t>DB-00001376 0000070</t>
  </si>
  <si>
    <t>2703 ALBION ST</t>
  </si>
  <si>
    <t>DB-00005413 0000718</t>
  </si>
  <si>
    <t>PT. LOT 195 BLK. 12 HEFFERMAN</t>
  </si>
  <si>
    <t>DB-00001881 0000598</t>
  </si>
  <si>
    <t>DB-00011150 0000277</t>
  </si>
  <si>
    <t>PT LOTS 10 &amp; 11 BLK B HERMITAGE ADDN</t>
  </si>
  <si>
    <t>DB-00002903 0000217</t>
  </si>
  <si>
    <t>0 AMERICAN RD</t>
  </si>
  <si>
    <t>DB-00008153 0000503</t>
  </si>
  <si>
    <t>PT OF LOT 99 SEC 1 CHARLOTTE PARK</t>
  </si>
  <si>
    <t>DB-00002453 0000128</t>
  </si>
  <si>
    <t>0 KINSEY BLVD</t>
  </si>
  <si>
    <t>CR-20050309 0026280</t>
  </si>
  <si>
    <t>IN CENTER OF KINSEY BOULEVARD NORTH OF WARD ROAD</t>
  </si>
  <si>
    <t>DB-00001303 0000515</t>
  </si>
  <si>
    <t>0 BIG HORN DR</t>
  </si>
  <si>
    <t>DB-00010057 0000616</t>
  </si>
  <si>
    <t>RES PAR. SHERWOOD FOREST SEC. 1</t>
  </si>
  <si>
    <t>DB-00004013 0000863</t>
  </si>
  <si>
    <t>0 OLD HYDES FERRY PIKE</t>
  </si>
  <si>
    <t>CR-20140311 0020386</t>
  </si>
  <si>
    <t>S W CORNER OLD HYDES FERRY PIKE &amp; OLD HICKORY BLVD.</t>
  </si>
  <si>
    <t>DB-00003993 0000714</t>
  </si>
  <si>
    <t>1504 JEWEL ST</t>
  </si>
  <si>
    <t>DB-00005414 0000117</t>
  </si>
  <si>
    <t>PT. LOT 5 DAN LEECH SUB.</t>
  </si>
  <si>
    <t>DB-00002745 0000447</t>
  </si>
  <si>
    <t>2023 Proposed Adjacent  - non-buildable</t>
  </si>
  <si>
    <t>2023Proposed Adjacent  - non-buildable</t>
  </si>
  <si>
    <t>2919 TORBETT ST</t>
  </si>
  <si>
    <t>Housing Fund</t>
  </si>
  <si>
    <t>Housing  Fund not for sale</t>
  </si>
  <si>
    <t>Housing fund</t>
  </si>
  <si>
    <t>0 AIRLANE DR</t>
  </si>
  <si>
    <t>PL-00005800 0000309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</si>
</sst>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49" fontId="2" fillId="2" borderId="0" xfId="0" applyNumberFormat="1" applyFont="1" applyFill="1"/>
    <xf numFmtId="0" fontId="0" fillId="2" borderId="0" xfId="0" applyFill="1" applyAlignment="1">
      <alignment horizontal="center"/>
    </xf>
    <xf numFmtId="14" fontId="0" fillId="2" borderId="0" xfId="0" applyNumberFormat="1" applyFill="1"/>
    <xf numFmtId="49" fontId="0" fillId="2" borderId="0" xfId="0" applyNumberFormat="1" applyFill="1"/>
    <xf numFmtId="49" fontId="3" fillId="2" borderId="0" xfId="0" applyNumberFormat="1" applyFont="1" applyFill="1"/>
    <xf numFmtId="0" fontId="3" fillId="2" borderId="0" xfId="0" applyFont="1" applyFill="1"/>
    <xf numFmtId="0" fontId="0" fillId="3" borderId="0" xfId="0" applyFill="1"/>
    <xf numFmtId="0" fontId="0" fillId="0" borderId="0" xfId="0" applyFill="1"/>
    <xf numFmtId="0" fontId="2" fillId="0" borderId="0" xfId="0" applyFont="1"/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833B6-7AE0-4843-87B9-9018E46F60C7}">
  <dimension ref="A1:S170"/>
  <sheetViews>
    <sheetView tabSelected="1" workbookViewId="0">
      <selection activeCell="H26" sqref="H26"/>
    </sheetView>
  </sheetViews>
  <sheetFormatPr defaultRowHeight="15" x14ac:dyDescent="0.25"/>
  <cols>
    <col min="1" max="1" width="15.28515625" customWidth="1"/>
    <col min="2" max="2" width="12.7109375" customWidth="1"/>
    <col min="3" max="3" width="37.7109375" customWidth="1"/>
    <col min="4" max="4" width="20" customWidth="1"/>
    <col min="5" max="5" width="17.140625" customWidth="1"/>
    <col min="6" max="6" width="20.85546875" customWidth="1"/>
    <col min="7" max="7" width="13" customWidth="1"/>
    <col min="8" max="8" width="21.85546875" customWidth="1"/>
    <col min="9" max="9" width="9.42578125" customWidth="1"/>
    <col min="10" max="10" width="60.28515625" customWidth="1"/>
    <col min="12" max="12" width="21.140625" customWidth="1"/>
    <col min="13" max="13" width="11.85546875" customWidth="1"/>
    <col min="15" max="15" width="27.85546875" customWidth="1"/>
    <col min="16" max="16" width="11.140625" customWidth="1"/>
    <col min="18" max="18" width="14.140625" customWidth="1"/>
  </cols>
  <sheetData>
    <row r="1" spans="1:19" x14ac:dyDescent="0.25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 s="12" t="str">
        <f>"16205028400"</f>
        <v>16205028400</v>
      </c>
      <c r="B2" s="5" t="s">
        <v>678</v>
      </c>
      <c r="C2" s="5" t="s">
        <v>20</v>
      </c>
      <c r="D2" s="11" t="s">
        <v>53</v>
      </c>
      <c r="E2" s="6">
        <v>37013</v>
      </c>
      <c r="F2" s="4" t="s">
        <v>22</v>
      </c>
      <c r="G2" s="7">
        <v>41198</v>
      </c>
      <c r="H2" s="4" t="s">
        <v>54</v>
      </c>
      <c r="I2" s="4">
        <v>701</v>
      </c>
      <c r="J2" s="4" t="s">
        <v>55</v>
      </c>
      <c r="K2" s="4">
        <v>0.02</v>
      </c>
      <c r="L2" s="4" t="s">
        <v>56</v>
      </c>
      <c r="M2" s="7">
        <v>26831</v>
      </c>
      <c r="N2" s="6">
        <v>27</v>
      </c>
      <c r="O2" s="4" t="s">
        <v>26</v>
      </c>
      <c r="P2" s="4">
        <v>500</v>
      </c>
      <c r="Q2" s="4">
        <v>0</v>
      </c>
      <c r="R2" s="4">
        <v>500</v>
      </c>
      <c r="S2" s="4">
        <v>601</v>
      </c>
    </row>
    <row r="3" spans="1:19" x14ac:dyDescent="0.25">
      <c r="A3" s="12" t="str">
        <f>"15001035300"</f>
        <v>15001035300</v>
      </c>
      <c r="B3" s="5" t="s">
        <v>19</v>
      </c>
      <c r="C3" s="5" t="s">
        <v>20</v>
      </c>
      <c r="D3" s="4" t="s">
        <v>146</v>
      </c>
      <c r="E3" s="6">
        <v>37013</v>
      </c>
      <c r="F3" s="4" t="s">
        <v>22</v>
      </c>
      <c r="G3" s="7">
        <v>41626</v>
      </c>
      <c r="H3" s="4" t="s">
        <v>147</v>
      </c>
      <c r="I3" s="4">
        <v>648</v>
      </c>
      <c r="J3" s="4" t="s">
        <v>148</v>
      </c>
      <c r="K3" s="4">
        <v>0.04</v>
      </c>
      <c r="L3" s="4" t="s">
        <v>149</v>
      </c>
      <c r="M3" s="7">
        <v>26647</v>
      </c>
      <c r="N3" s="6">
        <v>29</v>
      </c>
      <c r="O3" s="4" t="s">
        <v>26</v>
      </c>
      <c r="P3" s="4">
        <v>500</v>
      </c>
      <c r="Q3" s="4">
        <v>0</v>
      </c>
      <c r="R3" s="4">
        <v>500</v>
      </c>
      <c r="S3" s="4">
        <v>1449</v>
      </c>
    </row>
    <row r="4" spans="1:19" x14ac:dyDescent="0.25">
      <c r="A4" s="12" t="str">
        <f>"16216004900"</f>
        <v>16216004900</v>
      </c>
      <c r="B4" s="5" t="s">
        <v>19</v>
      </c>
      <c r="C4" s="5" t="s">
        <v>20</v>
      </c>
      <c r="D4" s="4" t="s">
        <v>257</v>
      </c>
      <c r="E4" s="6">
        <v>37013</v>
      </c>
      <c r="F4" s="4" t="s">
        <v>22</v>
      </c>
      <c r="G4" s="7">
        <v>41297</v>
      </c>
      <c r="H4" s="4" t="s">
        <v>258</v>
      </c>
      <c r="I4" s="4">
        <v>1024</v>
      </c>
      <c r="J4" s="4" t="s">
        <v>259</v>
      </c>
      <c r="K4" s="4">
        <v>0.06</v>
      </c>
      <c r="L4" s="4" t="s">
        <v>260</v>
      </c>
      <c r="M4" s="7">
        <v>30565</v>
      </c>
      <c r="N4" s="6">
        <v>32</v>
      </c>
      <c r="O4" s="4" t="s">
        <v>26</v>
      </c>
      <c r="P4" s="4">
        <v>1900</v>
      </c>
      <c r="Q4" s="4">
        <v>0</v>
      </c>
      <c r="R4" s="4">
        <v>1900</v>
      </c>
      <c r="S4" s="4">
        <v>2287</v>
      </c>
    </row>
    <row r="5" spans="1:19" x14ac:dyDescent="0.25">
      <c r="A5" s="12" t="str">
        <f>"17304000500"</f>
        <v>17304000500</v>
      </c>
      <c r="B5" s="5" t="s">
        <v>19</v>
      </c>
      <c r="C5" s="5" t="s">
        <v>20</v>
      </c>
      <c r="D5" s="4" t="s">
        <v>337</v>
      </c>
      <c r="E5" s="6">
        <v>37013</v>
      </c>
      <c r="F5" s="4" t="s">
        <v>22</v>
      </c>
      <c r="G5" s="7">
        <v>41297</v>
      </c>
      <c r="H5" s="4" t="s">
        <v>338</v>
      </c>
      <c r="I5" s="4">
        <v>1084</v>
      </c>
      <c r="J5" s="4" t="s">
        <v>339</v>
      </c>
      <c r="K5" s="4">
        <v>0.1</v>
      </c>
      <c r="L5" s="4" t="s">
        <v>340</v>
      </c>
      <c r="M5" s="7">
        <v>31418</v>
      </c>
      <c r="N5" s="6">
        <v>32</v>
      </c>
      <c r="O5" s="4" t="s">
        <v>26</v>
      </c>
      <c r="P5" s="4">
        <v>2400</v>
      </c>
      <c r="Q5" s="4">
        <v>0</v>
      </c>
      <c r="R5" s="4">
        <v>2400</v>
      </c>
      <c r="S5" s="4">
        <v>5213</v>
      </c>
    </row>
    <row r="6" spans="1:19" x14ac:dyDescent="0.25">
      <c r="A6" s="12" t="str">
        <f>"16300004700"</f>
        <v>16300004700</v>
      </c>
      <c r="B6" s="5" t="s">
        <v>19</v>
      </c>
      <c r="C6" s="5" t="s">
        <v>20</v>
      </c>
      <c r="D6" s="4" t="s">
        <v>507</v>
      </c>
      <c r="E6" s="6">
        <v>37013</v>
      </c>
      <c r="F6" s="4" t="s">
        <v>22</v>
      </c>
      <c r="G6" s="7">
        <v>29237</v>
      </c>
      <c r="H6" s="4" t="s">
        <v>508</v>
      </c>
      <c r="I6" s="4" t="s">
        <v>50</v>
      </c>
      <c r="J6" s="4" t="s">
        <v>509</v>
      </c>
      <c r="K6" s="4">
        <v>0.73</v>
      </c>
      <c r="L6" s="4" t="s">
        <v>510</v>
      </c>
      <c r="M6" s="7">
        <v>28388</v>
      </c>
      <c r="N6" s="6">
        <v>32</v>
      </c>
      <c r="O6" s="4" t="s">
        <v>104</v>
      </c>
      <c r="P6" s="4">
        <v>30500</v>
      </c>
      <c r="Q6" s="4">
        <v>0</v>
      </c>
      <c r="R6" s="4">
        <v>30500</v>
      </c>
      <c r="S6" s="4">
        <v>31707</v>
      </c>
    </row>
    <row r="7" spans="1:19" x14ac:dyDescent="0.25">
      <c r="A7" s="12" t="str">
        <f>"14816007000"</f>
        <v>14816007000</v>
      </c>
      <c r="B7" s="9" t="s">
        <v>681</v>
      </c>
      <c r="C7" s="9" t="s">
        <v>591</v>
      </c>
      <c r="D7" s="4" t="s">
        <v>624</v>
      </c>
      <c r="E7" s="6">
        <v>37013</v>
      </c>
      <c r="F7" s="4" t="s">
        <v>681</v>
      </c>
      <c r="G7" s="7">
        <v>42139</v>
      </c>
      <c r="H7" s="4" t="s">
        <v>625</v>
      </c>
      <c r="I7" s="4">
        <v>10456</v>
      </c>
      <c r="J7" s="4" t="s">
        <v>626</v>
      </c>
      <c r="K7" s="4">
        <v>0.77</v>
      </c>
      <c r="L7" s="4" t="s">
        <v>627</v>
      </c>
      <c r="M7" s="7">
        <v>24314</v>
      </c>
      <c r="N7" s="6">
        <v>28</v>
      </c>
      <c r="O7" s="4" t="s">
        <v>39</v>
      </c>
      <c r="P7" s="4">
        <v>30600</v>
      </c>
      <c r="Q7" s="4">
        <v>0</v>
      </c>
      <c r="R7" s="4">
        <v>30600</v>
      </c>
      <c r="S7" s="4">
        <v>31124</v>
      </c>
    </row>
    <row r="8" spans="1:19" x14ac:dyDescent="0.25">
      <c r="A8" s="12" t="str">
        <f>"04600003800"</f>
        <v>04600003800</v>
      </c>
      <c r="B8" s="5" t="s">
        <v>19</v>
      </c>
      <c r="C8" s="5" t="s">
        <v>20</v>
      </c>
      <c r="D8" s="4" t="s">
        <v>463</v>
      </c>
      <c r="E8" s="6">
        <v>37015</v>
      </c>
      <c r="F8" s="4" t="s">
        <v>22</v>
      </c>
      <c r="G8" s="7">
        <v>37666</v>
      </c>
      <c r="H8" s="4" t="s">
        <v>464</v>
      </c>
      <c r="I8" s="4">
        <v>530</v>
      </c>
      <c r="J8" s="4" t="s">
        <v>465</v>
      </c>
      <c r="K8" s="4">
        <v>0.28000000000000003</v>
      </c>
      <c r="L8" s="4" t="s">
        <v>466</v>
      </c>
      <c r="M8" s="7">
        <v>34964</v>
      </c>
      <c r="N8" s="6">
        <v>1</v>
      </c>
      <c r="O8" s="4" t="s">
        <v>104</v>
      </c>
      <c r="P8" s="4">
        <v>22000</v>
      </c>
      <c r="Q8" s="4">
        <v>0</v>
      </c>
      <c r="R8" s="4">
        <v>22000</v>
      </c>
      <c r="S8" s="4">
        <v>12115</v>
      </c>
    </row>
    <row r="9" spans="1:19" x14ac:dyDescent="0.25">
      <c r="A9" s="12" t="str">
        <f>"00600006500"</f>
        <v>00600006500</v>
      </c>
      <c r="B9" s="5" t="s">
        <v>19</v>
      </c>
      <c r="C9" s="5" t="s">
        <v>20</v>
      </c>
      <c r="D9" s="4" t="s">
        <v>391</v>
      </c>
      <c r="E9" s="6">
        <v>37072</v>
      </c>
      <c r="F9" s="4" t="s">
        <v>22</v>
      </c>
      <c r="G9" s="7">
        <v>41472</v>
      </c>
      <c r="H9" s="4" t="s">
        <v>392</v>
      </c>
      <c r="I9" s="4">
        <v>384</v>
      </c>
      <c r="J9" s="4" t="s">
        <v>393</v>
      </c>
      <c r="K9" s="4">
        <v>0.14000000000000001</v>
      </c>
      <c r="L9" s="4" t="s">
        <v>394</v>
      </c>
      <c r="M9" s="7">
        <v>23884</v>
      </c>
      <c r="N9" s="6">
        <v>3</v>
      </c>
      <c r="O9" s="4" t="s">
        <v>104</v>
      </c>
      <c r="P9" s="4">
        <v>400</v>
      </c>
      <c r="Q9" s="4">
        <v>0</v>
      </c>
      <c r="R9" s="4">
        <v>400</v>
      </c>
      <c r="S9" s="4">
        <v>6251</v>
      </c>
    </row>
    <row r="10" spans="1:19" x14ac:dyDescent="0.25">
      <c r="A10" s="12" t="str">
        <f>"00600003608"</f>
        <v>00600003608</v>
      </c>
      <c r="B10" s="5" t="s">
        <v>19</v>
      </c>
      <c r="C10" s="5" t="s">
        <v>20</v>
      </c>
      <c r="D10" s="4" t="s">
        <v>430</v>
      </c>
      <c r="E10" s="6">
        <v>37072</v>
      </c>
      <c r="F10" s="4" t="s">
        <v>22</v>
      </c>
      <c r="G10" s="7">
        <v>41472</v>
      </c>
      <c r="H10" s="4" t="s">
        <v>431</v>
      </c>
      <c r="I10" s="4">
        <v>384</v>
      </c>
      <c r="J10" s="4" t="s">
        <v>432</v>
      </c>
      <c r="K10" s="4">
        <v>0.18</v>
      </c>
      <c r="L10" s="4" t="s">
        <v>433</v>
      </c>
      <c r="M10" s="7">
        <v>23800</v>
      </c>
      <c r="N10" s="6">
        <v>3</v>
      </c>
      <c r="O10" s="4" t="s">
        <v>104</v>
      </c>
      <c r="P10" s="4">
        <v>500</v>
      </c>
      <c r="Q10" s="4">
        <v>0</v>
      </c>
      <c r="R10" s="4">
        <v>500</v>
      </c>
      <c r="S10" s="4">
        <v>6595</v>
      </c>
    </row>
    <row r="11" spans="1:19" x14ac:dyDescent="0.25">
      <c r="A11" s="12" t="str">
        <f>"00600002303"</f>
        <v>00600002303</v>
      </c>
      <c r="B11" s="5" t="s">
        <v>19</v>
      </c>
      <c r="C11" s="5" t="s">
        <v>20</v>
      </c>
      <c r="D11" s="4" t="s">
        <v>434</v>
      </c>
      <c r="E11" s="6">
        <v>37072</v>
      </c>
      <c r="F11" s="4" t="s">
        <v>22</v>
      </c>
      <c r="G11" s="7">
        <v>41472</v>
      </c>
      <c r="H11" s="4" t="s">
        <v>435</v>
      </c>
      <c r="I11" s="4">
        <v>376</v>
      </c>
      <c r="J11" s="4" t="s">
        <v>436</v>
      </c>
      <c r="K11" s="4">
        <v>0.18</v>
      </c>
      <c r="L11" s="4" t="s">
        <v>437</v>
      </c>
      <c r="M11" s="7">
        <v>23705</v>
      </c>
      <c r="N11" s="6">
        <v>3</v>
      </c>
      <c r="O11" s="4" t="s">
        <v>104</v>
      </c>
      <c r="P11" s="4">
        <v>500</v>
      </c>
      <c r="Q11" s="4">
        <v>0</v>
      </c>
      <c r="R11" s="4">
        <v>500</v>
      </c>
      <c r="S11" s="4">
        <v>6192</v>
      </c>
    </row>
    <row r="12" spans="1:19" x14ac:dyDescent="0.25">
      <c r="A12" s="12" t="str">
        <f>"00300001101"</f>
        <v>00300001101</v>
      </c>
      <c r="B12" s="5" t="s">
        <v>19</v>
      </c>
      <c r="C12" s="5" t="s">
        <v>20</v>
      </c>
      <c r="D12" s="4" t="s">
        <v>511</v>
      </c>
      <c r="E12" s="6">
        <v>37072</v>
      </c>
      <c r="F12" s="4" t="s">
        <v>22</v>
      </c>
      <c r="G12" s="7">
        <v>40891</v>
      </c>
      <c r="H12" s="4" t="s">
        <v>512</v>
      </c>
      <c r="I12" s="4">
        <v>20918</v>
      </c>
      <c r="J12" s="4" t="s">
        <v>513</v>
      </c>
      <c r="K12" s="4">
        <v>0.82</v>
      </c>
      <c r="L12" s="4" t="s">
        <v>514</v>
      </c>
      <c r="M12" s="7">
        <v>33829</v>
      </c>
      <c r="N12" s="6">
        <v>10</v>
      </c>
      <c r="O12" s="4" t="s">
        <v>26</v>
      </c>
      <c r="P12" s="4">
        <v>13500</v>
      </c>
      <c r="Q12" s="4">
        <v>0</v>
      </c>
      <c r="R12" s="4">
        <v>13500</v>
      </c>
      <c r="S12" s="4">
        <v>19400</v>
      </c>
    </row>
    <row r="13" spans="1:19" x14ac:dyDescent="0.25">
      <c r="A13" s="12" t="str">
        <f>"07404013200"</f>
        <v>07404013200</v>
      </c>
      <c r="B13" s="5" t="s">
        <v>678</v>
      </c>
      <c r="C13" s="5" t="s">
        <v>20</v>
      </c>
      <c r="D13" s="11" t="s">
        <v>73</v>
      </c>
      <c r="E13" s="6">
        <v>37076</v>
      </c>
      <c r="F13" s="4" t="s">
        <v>22</v>
      </c>
      <c r="G13" s="7">
        <v>32926</v>
      </c>
      <c r="H13" s="4" t="s">
        <v>74</v>
      </c>
      <c r="I13" s="4">
        <v>327</v>
      </c>
      <c r="J13" s="4" t="s">
        <v>75</v>
      </c>
      <c r="K13" s="4">
        <v>0.03</v>
      </c>
      <c r="L13" s="4" t="s">
        <v>76</v>
      </c>
      <c r="M13" s="7">
        <v>28874</v>
      </c>
      <c r="N13" s="6">
        <v>14</v>
      </c>
      <c r="O13" s="4" t="s">
        <v>26</v>
      </c>
      <c r="P13" s="4">
        <v>700</v>
      </c>
      <c r="Q13" s="4">
        <v>0</v>
      </c>
      <c r="R13" s="4">
        <v>700</v>
      </c>
      <c r="S13" s="4">
        <v>1017</v>
      </c>
    </row>
    <row r="14" spans="1:19" x14ac:dyDescent="0.25">
      <c r="A14" s="12" t="str">
        <f>"09805014100"</f>
        <v>09805014100</v>
      </c>
      <c r="B14" s="5" t="s">
        <v>19</v>
      </c>
      <c r="C14" s="5" t="s">
        <v>20</v>
      </c>
      <c r="D14" s="4" t="s">
        <v>475</v>
      </c>
      <c r="E14" s="6">
        <v>37076</v>
      </c>
      <c r="F14" s="4" t="s">
        <v>22</v>
      </c>
      <c r="G14" s="7">
        <v>39617</v>
      </c>
      <c r="H14" s="4" t="s">
        <v>476</v>
      </c>
      <c r="I14" s="4" t="s">
        <v>50</v>
      </c>
      <c r="J14" s="4" t="s">
        <v>477</v>
      </c>
      <c r="K14" s="4">
        <v>0.32</v>
      </c>
      <c r="L14" s="4" t="s">
        <v>478</v>
      </c>
      <c r="M14" s="7">
        <v>30767</v>
      </c>
      <c r="N14" s="6">
        <v>12</v>
      </c>
      <c r="O14" s="4" t="s">
        <v>26</v>
      </c>
      <c r="P14" s="4">
        <v>500</v>
      </c>
      <c r="Q14" s="4">
        <v>0</v>
      </c>
      <c r="R14" s="4">
        <v>500</v>
      </c>
      <c r="S14" s="4">
        <v>12679</v>
      </c>
    </row>
    <row r="15" spans="1:19" x14ac:dyDescent="0.25">
      <c r="A15" s="12" t="str">
        <f>"01300001000"</f>
        <v>01300001000</v>
      </c>
      <c r="B15" s="5" t="s">
        <v>19</v>
      </c>
      <c r="C15" s="5" t="s">
        <v>20</v>
      </c>
      <c r="D15" s="4" t="s">
        <v>455</v>
      </c>
      <c r="E15" s="6">
        <v>37080</v>
      </c>
      <c r="F15" s="4" t="s">
        <v>22</v>
      </c>
      <c r="G15" s="7">
        <v>40198</v>
      </c>
      <c r="H15" s="4" t="s">
        <v>456</v>
      </c>
      <c r="I15" s="4">
        <v>1668</v>
      </c>
      <c r="J15" s="4" t="s">
        <v>457</v>
      </c>
      <c r="K15" s="4">
        <v>0.27</v>
      </c>
      <c r="L15" s="4" t="s">
        <v>458</v>
      </c>
      <c r="M15" s="7">
        <v>4605</v>
      </c>
      <c r="N15" s="6">
        <v>1</v>
      </c>
      <c r="O15" s="4" t="s">
        <v>104</v>
      </c>
      <c r="P15" s="4">
        <v>600</v>
      </c>
      <c r="Q15" s="4">
        <v>0</v>
      </c>
      <c r="R15" s="4">
        <v>600</v>
      </c>
      <c r="S15" s="4">
        <v>11572</v>
      </c>
    </row>
    <row r="16" spans="1:19" x14ac:dyDescent="0.25">
      <c r="A16" s="12" t="str">
        <f>"02100007000"</f>
        <v>02100007000</v>
      </c>
      <c r="B16" s="5" t="s">
        <v>19</v>
      </c>
      <c r="C16" s="5" t="s">
        <v>20</v>
      </c>
      <c r="D16" s="4" t="s">
        <v>471</v>
      </c>
      <c r="E16" s="6">
        <v>37080</v>
      </c>
      <c r="F16" s="4" t="s">
        <v>22</v>
      </c>
      <c r="G16" s="7">
        <v>37666</v>
      </c>
      <c r="H16" s="4" t="s">
        <v>472</v>
      </c>
      <c r="I16" s="4">
        <v>1217</v>
      </c>
      <c r="J16" s="4" t="s">
        <v>473</v>
      </c>
      <c r="K16" s="4">
        <v>0.32</v>
      </c>
      <c r="L16" s="4" t="s">
        <v>474</v>
      </c>
      <c r="M16" s="7">
        <v>24197</v>
      </c>
      <c r="N16" s="6">
        <v>1</v>
      </c>
      <c r="O16" s="4" t="s">
        <v>104</v>
      </c>
      <c r="P16" s="4">
        <v>4100</v>
      </c>
      <c r="Q16" s="4">
        <v>0</v>
      </c>
      <c r="R16" s="4">
        <v>4100</v>
      </c>
      <c r="S16" s="4">
        <v>14101</v>
      </c>
    </row>
    <row r="17" spans="1:19" x14ac:dyDescent="0.25">
      <c r="A17" s="12" t="str">
        <f>"02900023200"</f>
        <v>02900023200</v>
      </c>
      <c r="B17" s="9" t="s">
        <v>681</v>
      </c>
      <c r="C17" s="9" t="s">
        <v>591</v>
      </c>
      <c r="D17" s="4" t="s">
        <v>628</v>
      </c>
      <c r="E17" s="6">
        <v>37080</v>
      </c>
      <c r="F17" s="4" t="s">
        <v>681</v>
      </c>
      <c r="G17" s="7">
        <v>41444</v>
      </c>
      <c r="H17" s="4" t="s">
        <v>629</v>
      </c>
      <c r="I17" s="4">
        <v>12004</v>
      </c>
      <c r="J17" s="4" t="s">
        <v>630</v>
      </c>
      <c r="K17" s="4">
        <v>1</v>
      </c>
      <c r="L17" s="4" t="s">
        <v>631</v>
      </c>
      <c r="M17" s="7">
        <v>23945</v>
      </c>
      <c r="N17" s="6">
        <v>1</v>
      </c>
      <c r="O17" s="4" t="s">
        <v>104</v>
      </c>
      <c r="P17" s="4">
        <v>24000</v>
      </c>
      <c r="Q17" s="4">
        <v>0</v>
      </c>
      <c r="R17" s="4">
        <v>24000</v>
      </c>
      <c r="S17" s="4">
        <v>45445</v>
      </c>
    </row>
    <row r="18" spans="1:19" x14ac:dyDescent="0.25">
      <c r="A18" s="12" t="str">
        <f>"04213003800"</f>
        <v>04213003800</v>
      </c>
      <c r="B18" s="5" t="s">
        <v>678</v>
      </c>
      <c r="C18" s="5" t="s">
        <v>20</v>
      </c>
      <c r="D18" s="11" t="s">
        <v>69</v>
      </c>
      <c r="E18" s="6">
        <v>37115</v>
      </c>
      <c r="F18" s="4" t="s">
        <v>22</v>
      </c>
      <c r="G18" s="7">
        <v>27282</v>
      </c>
      <c r="H18" s="4" t="s">
        <v>70</v>
      </c>
      <c r="I18" s="4">
        <v>140</v>
      </c>
      <c r="J18" s="4" t="s">
        <v>71</v>
      </c>
      <c r="K18" s="4">
        <v>0.03</v>
      </c>
      <c r="L18" s="4" t="s">
        <v>72</v>
      </c>
      <c r="M18" s="7">
        <v>21985</v>
      </c>
      <c r="N18" s="6">
        <v>8</v>
      </c>
      <c r="O18" s="4" t="s">
        <v>26</v>
      </c>
      <c r="P18" s="4">
        <v>1000</v>
      </c>
      <c r="Q18" s="4">
        <v>0</v>
      </c>
      <c r="R18" s="4">
        <v>1000</v>
      </c>
      <c r="S18" s="4">
        <v>1621</v>
      </c>
    </row>
    <row r="19" spans="1:19" x14ac:dyDescent="0.25">
      <c r="A19" s="12" t="str">
        <f>"04314015100"</f>
        <v>04314015100</v>
      </c>
      <c r="B19" s="5" t="s">
        <v>19</v>
      </c>
      <c r="C19" s="5" t="s">
        <v>20</v>
      </c>
      <c r="D19" s="4" t="s">
        <v>89</v>
      </c>
      <c r="E19" s="6">
        <v>37115</v>
      </c>
      <c r="F19" s="4" t="s">
        <v>22</v>
      </c>
      <c r="G19" s="7">
        <v>27417</v>
      </c>
      <c r="H19" s="4" t="s">
        <v>90</v>
      </c>
      <c r="I19" s="4">
        <v>208</v>
      </c>
      <c r="J19" s="4" t="s">
        <v>91</v>
      </c>
      <c r="K19" s="4">
        <v>0.04</v>
      </c>
      <c r="L19" s="4" t="s">
        <v>90</v>
      </c>
      <c r="M19" s="7">
        <v>27417</v>
      </c>
      <c r="N19" s="6">
        <v>9</v>
      </c>
      <c r="O19" s="4" t="s">
        <v>26</v>
      </c>
      <c r="P19" s="4">
        <v>200</v>
      </c>
      <c r="Q19" s="4">
        <v>0</v>
      </c>
      <c r="R19" s="4">
        <v>200</v>
      </c>
      <c r="S19" s="4">
        <v>2553</v>
      </c>
    </row>
    <row r="20" spans="1:19" x14ac:dyDescent="0.25">
      <c r="A20" s="12" t="str">
        <f>"03409013400"</f>
        <v>03409013400</v>
      </c>
      <c r="B20" s="5" t="s">
        <v>19</v>
      </c>
      <c r="C20" s="5" t="s">
        <v>20</v>
      </c>
      <c r="D20" s="4" t="s">
        <v>233</v>
      </c>
      <c r="E20" s="6">
        <v>37115</v>
      </c>
      <c r="F20" s="4" t="s">
        <v>22</v>
      </c>
      <c r="G20" s="7">
        <v>38301</v>
      </c>
      <c r="H20" s="4" t="s">
        <v>234</v>
      </c>
      <c r="I20" s="4">
        <v>920</v>
      </c>
      <c r="J20" s="4" t="s">
        <v>235</v>
      </c>
      <c r="K20" s="4">
        <v>0.06</v>
      </c>
      <c r="L20" s="4" t="s">
        <v>236</v>
      </c>
      <c r="M20" s="7">
        <v>25182</v>
      </c>
      <c r="N20" s="6">
        <v>10</v>
      </c>
      <c r="O20" s="4" t="s">
        <v>39</v>
      </c>
      <c r="P20" s="4">
        <v>11000</v>
      </c>
      <c r="Q20" s="4">
        <v>0</v>
      </c>
      <c r="R20" s="4">
        <v>11000</v>
      </c>
      <c r="S20" s="4">
        <v>2096</v>
      </c>
    </row>
    <row r="21" spans="1:19" x14ac:dyDescent="0.25">
      <c r="A21" s="12" t="str">
        <f>"03316000700"</f>
        <v>03316000700</v>
      </c>
      <c r="B21" s="5" t="s">
        <v>678</v>
      </c>
      <c r="C21" s="5" t="s">
        <v>20</v>
      </c>
      <c r="D21" s="11" t="s">
        <v>237</v>
      </c>
      <c r="E21" s="6">
        <v>37115</v>
      </c>
      <c r="F21" s="4" t="s">
        <v>22</v>
      </c>
      <c r="G21" s="7">
        <v>41472</v>
      </c>
      <c r="H21" s="4" t="s">
        <v>238</v>
      </c>
      <c r="I21" s="4">
        <v>422</v>
      </c>
      <c r="J21" s="4" t="s">
        <v>239</v>
      </c>
      <c r="K21" s="4">
        <v>0.06</v>
      </c>
      <c r="L21" s="4" t="s">
        <v>240</v>
      </c>
      <c r="M21" s="7">
        <v>22810</v>
      </c>
      <c r="N21" s="6">
        <v>10</v>
      </c>
      <c r="O21" s="4" t="s">
        <v>26</v>
      </c>
      <c r="P21" s="4">
        <v>500</v>
      </c>
      <c r="Q21" s="4">
        <v>0</v>
      </c>
      <c r="R21" s="4">
        <v>500</v>
      </c>
      <c r="S21" s="4">
        <v>415</v>
      </c>
    </row>
    <row r="22" spans="1:19" x14ac:dyDescent="0.25">
      <c r="A22" s="12" t="str">
        <f>"05203006500"</f>
        <v>05203006500</v>
      </c>
      <c r="B22" s="5" t="s">
        <v>19</v>
      </c>
      <c r="C22" s="5" t="s">
        <v>20</v>
      </c>
      <c r="D22" s="4" t="s">
        <v>450</v>
      </c>
      <c r="E22" s="6">
        <v>37115</v>
      </c>
      <c r="F22" s="4" t="s">
        <v>22</v>
      </c>
      <c r="G22" s="7">
        <v>38082</v>
      </c>
      <c r="H22" s="4" t="s">
        <v>451</v>
      </c>
      <c r="I22" s="4">
        <v>10652</v>
      </c>
      <c r="J22" s="4" t="s">
        <v>452</v>
      </c>
      <c r="K22" s="4">
        <v>0.23</v>
      </c>
      <c r="L22" s="4" t="s">
        <v>453</v>
      </c>
      <c r="M22" s="7">
        <v>16424</v>
      </c>
      <c r="N22" s="6">
        <v>9</v>
      </c>
      <c r="O22" s="4" t="s">
        <v>26</v>
      </c>
      <c r="P22" s="4">
        <v>10000</v>
      </c>
      <c r="Q22" s="4">
        <v>0</v>
      </c>
      <c r="R22" s="4">
        <v>10000</v>
      </c>
      <c r="S22" s="4">
        <v>9860</v>
      </c>
    </row>
    <row r="23" spans="1:19" x14ac:dyDescent="0.25">
      <c r="A23" s="12" t="str">
        <f>"04213007100"</f>
        <v>04213007100</v>
      </c>
      <c r="B23" s="5" t="s">
        <v>19</v>
      </c>
      <c r="C23" s="5" t="s">
        <v>20</v>
      </c>
      <c r="D23" s="4" t="s">
        <v>519</v>
      </c>
      <c r="E23" s="6">
        <v>37115</v>
      </c>
      <c r="F23" s="4" t="s">
        <v>22</v>
      </c>
      <c r="G23" s="7">
        <v>41444</v>
      </c>
      <c r="H23" s="4" t="s">
        <v>520</v>
      </c>
      <c r="I23" s="4">
        <v>32136</v>
      </c>
      <c r="J23" s="4" t="s">
        <v>521</v>
      </c>
      <c r="K23" s="4">
        <v>1.1100000000000001</v>
      </c>
      <c r="L23" s="4" t="s">
        <v>522</v>
      </c>
      <c r="M23" s="7">
        <v>26060</v>
      </c>
      <c r="N23" s="6">
        <v>8</v>
      </c>
      <c r="O23" s="4" t="s">
        <v>26</v>
      </c>
      <c r="P23" s="4">
        <v>40000</v>
      </c>
      <c r="Q23" s="4">
        <v>0</v>
      </c>
      <c r="R23" s="4">
        <v>40000</v>
      </c>
      <c r="S23" s="4">
        <v>46534</v>
      </c>
    </row>
    <row r="24" spans="1:19" x14ac:dyDescent="0.25">
      <c r="A24" s="12" t="str">
        <f>"02713001000"</f>
        <v>02713001000</v>
      </c>
      <c r="B24" s="5" t="s">
        <v>19</v>
      </c>
      <c r="C24" s="5" t="s">
        <v>20</v>
      </c>
      <c r="D24" s="4" t="s">
        <v>536</v>
      </c>
      <c r="E24" s="6">
        <v>37115</v>
      </c>
      <c r="F24" s="4" t="s">
        <v>22</v>
      </c>
      <c r="G24" s="7">
        <v>41444</v>
      </c>
      <c r="H24" s="4" t="s">
        <v>537</v>
      </c>
      <c r="I24" s="4">
        <v>1071</v>
      </c>
      <c r="J24" s="4" t="s">
        <v>538</v>
      </c>
      <c r="K24" s="4">
        <v>5.15</v>
      </c>
      <c r="L24" s="4" t="s">
        <v>539</v>
      </c>
      <c r="M24" s="7">
        <v>19995</v>
      </c>
      <c r="N24" s="6">
        <v>10</v>
      </c>
      <c r="O24" s="4" t="s">
        <v>26</v>
      </c>
      <c r="P24" s="4">
        <v>11600</v>
      </c>
      <c r="Q24" s="4">
        <v>0</v>
      </c>
      <c r="R24" s="4">
        <v>11600</v>
      </c>
      <c r="S24" s="4">
        <v>171927</v>
      </c>
    </row>
    <row r="25" spans="1:19" x14ac:dyDescent="0.25">
      <c r="A25" s="12" t="str">
        <f>"03413008100"</f>
        <v>03413008100</v>
      </c>
      <c r="B25" s="4" t="s">
        <v>681</v>
      </c>
      <c r="C25" s="5" t="s">
        <v>591</v>
      </c>
      <c r="D25" s="4" t="s">
        <v>632</v>
      </c>
      <c r="E25" s="6">
        <v>37115</v>
      </c>
      <c r="F25" s="4" t="s">
        <v>681</v>
      </c>
      <c r="G25" s="7">
        <v>42213</v>
      </c>
      <c r="H25" s="4" t="s">
        <v>633</v>
      </c>
      <c r="I25" s="4">
        <v>8145</v>
      </c>
      <c r="J25" s="4" t="s">
        <v>634</v>
      </c>
      <c r="K25" s="4">
        <v>0.15</v>
      </c>
      <c r="L25" s="4" t="s">
        <v>635</v>
      </c>
      <c r="M25" s="7">
        <v>27081</v>
      </c>
      <c r="N25" s="6">
        <v>10</v>
      </c>
      <c r="O25" s="4" t="s">
        <v>26</v>
      </c>
      <c r="P25" s="4">
        <v>22300</v>
      </c>
      <c r="Q25" s="4">
        <v>0</v>
      </c>
      <c r="R25" s="4">
        <v>22300</v>
      </c>
      <c r="S25" s="4">
        <v>5959</v>
      </c>
    </row>
    <row r="26" spans="1:19" x14ac:dyDescent="0.25">
      <c r="A26" s="12" t="str">
        <f>"05203003500"</f>
        <v>05203003500</v>
      </c>
      <c r="B26" s="8" t="s">
        <v>19</v>
      </c>
      <c r="C26" s="5" t="s">
        <v>540</v>
      </c>
      <c r="D26" s="4" t="s">
        <v>662</v>
      </c>
      <c r="E26" s="6">
        <v>37115</v>
      </c>
      <c r="F26" s="4" t="s">
        <v>22</v>
      </c>
      <c r="G26" s="7">
        <v>36972</v>
      </c>
      <c r="H26" s="4" t="s">
        <v>663</v>
      </c>
      <c r="I26" s="4">
        <v>480</v>
      </c>
      <c r="J26" s="4" t="s">
        <v>664</v>
      </c>
      <c r="K26" s="4">
        <v>0.02</v>
      </c>
      <c r="L26" s="4" t="s">
        <v>665</v>
      </c>
      <c r="M26" s="7">
        <v>16614</v>
      </c>
      <c r="N26" s="6">
        <v>9</v>
      </c>
      <c r="O26" s="4" t="s">
        <v>26</v>
      </c>
      <c r="P26" s="4">
        <v>300</v>
      </c>
      <c r="Q26" s="4">
        <v>0</v>
      </c>
      <c r="R26" s="4">
        <v>300</v>
      </c>
      <c r="S26" s="4">
        <v>1030</v>
      </c>
    </row>
    <row r="27" spans="1:19" x14ac:dyDescent="0.25">
      <c r="A27" s="12" t="str">
        <f>"04406000200"</f>
        <v>04406000200</v>
      </c>
      <c r="B27" s="5" t="s">
        <v>19</v>
      </c>
      <c r="C27" s="5" t="s">
        <v>20</v>
      </c>
      <c r="D27" s="4" t="s">
        <v>154</v>
      </c>
      <c r="E27" s="6">
        <v>37138</v>
      </c>
      <c r="F27" s="4" t="s">
        <v>22</v>
      </c>
      <c r="G27" s="7">
        <v>34836</v>
      </c>
      <c r="H27" s="4" t="s">
        <v>155</v>
      </c>
      <c r="I27" s="4">
        <v>772</v>
      </c>
      <c r="J27" s="4" t="s">
        <v>156</v>
      </c>
      <c r="K27" s="4">
        <v>0.05</v>
      </c>
      <c r="L27" s="4" t="s">
        <v>157</v>
      </c>
      <c r="M27" s="7">
        <v>7732</v>
      </c>
      <c r="N27" s="6">
        <v>11</v>
      </c>
      <c r="O27" s="4" t="s">
        <v>39</v>
      </c>
      <c r="P27" s="4">
        <v>2200</v>
      </c>
      <c r="Q27" s="4">
        <v>0</v>
      </c>
      <c r="R27" s="4">
        <v>2200</v>
      </c>
      <c r="S27" s="4">
        <v>1499</v>
      </c>
    </row>
    <row r="28" spans="1:19" x14ac:dyDescent="0.25">
      <c r="A28" s="12" t="str">
        <f>"06404007100"</f>
        <v>06404007100</v>
      </c>
      <c r="B28" s="5" t="s">
        <v>19</v>
      </c>
      <c r="C28" s="5" t="s">
        <v>20</v>
      </c>
      <c r="D28" s="4" t="s">
        <v>312</v>
      </c>
      <c r="E28" s="6">
        <v>37138</v>
      </c>
      <c r="F28" s="4" t="s">
        <v>22</v>
      </c>
      <c r="G28" s="7">
        <v>32898</v>
      </c>
      <c r="H28" s="4" t="s">
        <v>313</v>
      </c>
      <c r="I28" s="4">
        <v>348</v>
      </c>
      <c r="J28" s="4" t="s">
        <v>314</v>
      </c>
      <c r="K28" s="4">
        <v>0.09</v>
      </c>
      <c r="L28" s="4" t="s">
        <v>315</v>
      </c>
      <c r="M28" s="7">
        <v>30627</v>
      </c>
      <c r="N28" s="6">
        <v>11</v>
      </c>
      <c r="O28" s="4" t="s">
        <v>26</v>
      </c>
      <c r="P28" s="4">
        <v>2500</v>
      </c>
      <c r="Q28" s="4">
        <v>0</v>
      </c>
      <c r="R28" s="4">
        <v>2500</v>
      </c>
      <c r="S28" s="4">
        <v>4513</v>
      </c>
    </row>
    <row r="29" spans="1:19" x14ac:dyDescent="0.25">
      <c r="A29" s="12" t="str">
        <f>"06308003400"</f>
        <v>06308003400</v>
      </c>
      <c r="B29" s="5" t="s">
        <v>19</v>
      </c>
      <c r="C29" s="5" t="s">
        <v>20</v>
      </c>
      <c r="D29" s="4" t="s">
        <v>316</v>
      </c>
      <c r="E29" s="6">
        <v>37138</v>
      </c>
      <c r="F29" s="4" t="s">
        <v>22</v>
      </c>
      <c r="G29" s="7">
        <v>41297</v>
      </c>
      <c r="H29" s="4" t="s">
        <v>317</v>
      </c>
      <c r="I29" s="4">
        <v>525</v>
      </c>
      <c r="J29" s="4" t="s">
        <v>318</v>
      </c>
      <c r="K29" s="4">
        <v>0.09</v>
      </c>
      <c r="L29" s="4" t="s">
        <v>319</v>
      </c>
      <c r="M29" s="7">
        <v>22388</v>
      </c>
      <c r="N29" s="6">
        <v>11</v>
      </c>
      <c r="O29" s="4" t="s">
        <v>26</v>
      </c>
      <c r="P29" s="4">
        <v>1500</v>
      </c>
      <c r="Q29" s="4">
        <v>0</v>
      </c>
      <c r="R29" s="4">
        <v>1500</v>
      </c>
      <c r="S29" s="4">
        <v>3965</v>
      </c>
    </row>
    <row r="30" spans="1:19" x14ac:dyDescent="0.25">
      <c r="A30" s="12" t="str">
        <f>"06409027900"</f>
        <v>06409027900</v>
      </c>
      <c r="B30" s="5" t="s">
        <v>19</v>
      </c>
      <c r="C30" s="5" t="s">
        <v>20</v>
      </c>
      <c r="D30" s="4" t="s">
        <v>352</v>
      </c>
      <c r="E30" s="6">
        <v>37138</v>
      </c>
      <c r="F30" s="4" t="s">
        <v>22</v>
      </c>
      <c r="G30" s="7">
        <v>42139</v>
      </c>
      <c r="H30" s="4" t="s">
        <v>353</v>
      </c>
      <c r="I30" s="4">
        <v>567</v>
      </c>
      <c r="J30" s="4" t="s">
        <v>354</v>
      </c>
      <c r="K30" s="4">
        <v>0.11</v>
      </c>
      <c r="L30" s="4" t="s">
        <v>355</v>
      </c>
      <c r="M30" s="7">
        <v>31135</v>
      </c>
      <c r="N30" s="6">
        <v>11</v>
      </c>
      <c r="O30" s="4" t="s">
        <v>26</v>
      </c>
      <c r="P30" s="4">
        <v>100</v>
      </c>
      <c r="Q30" s="4">
        <v>0</v>
      </c>
      <c r="R30" s="4">
        <v>100</v>
      </c>
      <c r="S30" s="4">
        <v>4690</v>
      </c>
    </row>
    <row r="31" spans="1:19" x14ac:dyDescent="0.25">
      <c r="A31" s="12" t="str">
        <f>"06409001500"</f>
        <v>06409001500</v>
      </c>
      <c r="B31" s="5" t="s">
        <v>19</v>
      </c>
      <c r="C31" s="5" t="s">
        <v>20</v>
      </c>
      <c r="D31" s="4" t="s">
        <v>384</v>
      </c>
      <c r="E31" s="6">
        <v>37138</v>
      </c>
      <c r="F31" s="4" t="s">
        <v>22</v>
      </c>
      <c r="G31" s="7">
        <v>27032</v>
      </c>
      <c r="H31" s="4" t="s">
        <v>385</v>
      </c>
      <c r="I31" s="4">
        <v>219</v>
      </c>
      <c r="J31" s="4" t="s">
        <v>386</v>
      </c>
      <c r="K31" s="4">
        <v>0.13</v>
      </c>
      <c r="L31" s="4" t="s">
        <v>387</v>
      </c>
      <c r="M31" s="7">
        <v>18827</v>
      </c>
      <c r="N31" s="6">
        <v>11</v>
      </c>
      <c r="O31" s="4" t="s">
        <v>26</v>
      </c>
      <c r="P31" s="4">
        <v>34000</v>
      </c>
      <c r="Q31" s="4">
        <v>0</v>
      </c>
      <c r="R31" s="4">
        <v>34000</v>
      </c>
      <c r="S31" s="4">
        <v>6272</v>
      </c>
    </row>
    <row r="32" spans="1:19" x14ac:dyDescent="0.25">
      <c r="A32" s="12" t="str">
        <f>"06513004100"</f>
        <v>06513004100</v>
      </c>
      <c r="B32" s="8" t="s">
        <v>19</v>
      </c>
      <c r="C32" s="5" t="s">
        <v>540</v>
      </c>
      <c r="D32" s="4" t="s">
        <v>666</v>
      </c>
      <c r="E32" s="6">
        <v>37138</v>
      </c>
      <c r="F32" s="4" t="s">
        <v>22</v>
      </c>
      <c r="G32" s="7">
        <v>35082</v>
      </c>
      <c r="H32" s="4" t="s">
        <v>667</v>
      </c>
      <c r="I32" s="4">
        <v>400</v>
      </c>
      <c r="J32" s="4" t="s">
        <v>668</v>
      </c>
      <c r="K32" s="4">
        <v>0.02</v>
      </c>
      <c r="L32" s="4" t="s">
        <v>669</v>
      </c>
      <c r="M32" s="7">
        <v>24042</v>
      </c>
      <c r="N32" s="6">
        <v>11</v>
      </c>
      <c r="O32" s="4" t="s">
        <v>26</v>
      </c>
      <c r="P32" s="4">
        <v>300</v>
      </c>
      <c r="Q32" s="4">
        <v>0</v>
      </c>
      <c r="R32" s="4">
        <v>300</v>
      </c>
      <c r="S32" s="4">
        <v>1996</v>
      </c>
    </row>
    <row r="33" spans="1:19" x14ac:dyDescent="0.25">
      <c r="A33" s="12" t="str">
        <f>"02300003700"</f>
        <v>02300003700</v>
      </c>
      <c r="B33" s="5" t="s">
        <v>678</v>
      </c>
      <c r="C33" s="5" t="s">
        <v>20</v>
      </c>
      <c r="D33" s="11" t="s">
        <v>229</v>
      </c>
      <c r="E33" s="6">
        <v>37189</v>
      </c>
      <c r="F33" s="4" t="s">
        <v>22</v>
      </c>
      <c r="G33" s="7">
        <v>39617</v>
      </c>
      <c r="H33" s="4" t="s">
        <v>230</v>
      </c>
      <c r="I33" s="4" t="s">
        <v>50</v>
      </c>
      <c r="J33" s="4" t="s">
        <v>231</v>
      </c>
      <c r="K33" s="4">
        <v>0.06</v>
      </c>
      <c r="L33" s="4" t="s">
        <v>232</v>
      </c>
      <c r="M33" s="7">
        <v>29727</v>
      </c>
      <c r="N33" s="6">
        <v>3</v>
      </c>
      <c r="O33" s="4" t="s">
        <v>104</v>
      </c>
      <c r="P33" s="4">
        <v>800</v>
      </c>
      <c r="Q33" s="4">
        <v>0</v>
      </c>
      <c r="R33" s="4">
        <v>800</v>
      </c>
      <c r="S33" s="4">
        <v>3004</v>
      </c>
    </row>
    <row r="34" spans="1:19" x14ac:dyDescent="0.25">
      <c r="A34" s="12" t="str">
        <f>"03000015300"</f>
        <v>03000015300</v>
      </c>
      <c r="B34" s="5" t="s">
        <v>19</v>
      </c>
      <c r="C34" s="5" t="s">
        <v>20</v>
      </c>
      <c r="D34" s="4" t="s">
        <v>515</v>
      </c>
      <c r="E34" s="6">
        <v>37189</v>
      </c>
      <c r="F34" s="4" t="s">
        <v>22</v>
      </c>
      <c r="G34" s="7">
        <v>41444</v>
      </c>
      <c r="H34" s="4" t="s">
        <v>516</v>
      </c>
      <c r="I34" s="4">
        <v>3500</v>
      </c>
      <c r="J34" s="4" t="s">
        <v>517</v>
      </c>
      <c r="K34" s="4">
        <v>1.06</v>
      </c>
      <c r="L34" s="4" t="s">
        <v>518</v>
      </c>
      <c r="M34" s="7">
        <v>32671</v>
      </c>
      <c r="N34" s="6">
        <v>3</v>
      </c>
      <c r="O34" s="4" t="s">
        <v>104</v>
      </c>
      <c r="P34" s="4">
        <v>5300</v>
      </c>
      <c r="Q34" s="4">
        <v>0</v>
      </c>
      <c r="R34" s="4">
        <v>5300</v>
      </c>
      <c r="S34" s="4">
        <v>38442</v>
      </c>
    </row>
    <row r="35" spans="1:19" x14ac:dyDescent="0.25">
      <c r="A35" s="12" t="str">
        <f>"10511015101"</f>
        <v>10511015101</v>
      </c>
      <c r="B35" s="5" t="s">
        <v>678</v>
      </c>
      <c r="C35" s="5" t="s">
        <v>20</v>
      </c>
      <c r="D35" s="11" t="s">
        <v>40</v>
      </c>
      <c r="E35" s="6">
        <v>37203</v>
      </c>
      <c r="F35" s="4" t="s">
        <v>22</v>
      </c>
      <c r="G35" s="7">
        <v>28796</v>
      </c>
      <c r="H35" s="4" t="s">
        <v>41</v>
      </c>
      <c r="I35" s="4">
        <v>0</v>
      </c>
      <c r="J35" s="4" t="s">
        <v>42</v>
      </c>
      <c r="K35" s="4">
        <v>0.02</v>
      </c>
      <c r="L35" s="4" t="s">
        <v>43</v>
      </c>
      <c r="M35" s="7">
        <v>493</v>
      </c>
      <c r="N35" s="6">
        <v>17</v>
      </c>
      <c r="O35" s="4" t="s">
        <v>26</v>
      </c>
      <c r="P35" s="4">
        <v>1000</v>
      </c>
      <c r="Q35" s="4">
        <v>0</v>
      </c>
      <c r="R35" s="4">
        <v>1000</v>
      </c>
      <c r="S35" s="4">
        <v>876</v>
      </c>
    </row>
    <row r="36" spans="1:19" x14ac:dyDescent="0.25">
      <c r="A36" s="12" t="str">
        <f>"09207032300"</f>
        <v>09207032300</v>
      </c>
      <c r="B36" s="8" t="s">
        <v>19</v>
      </c>
      <c r="C36" s="5" t="s">
        <v>540</v>
      </c>
      <c r="D36" s="4" t="s">
        <v>636</v>
      </c>
      <c r="E36" s="6">
        <v>37203</v>
      </c>
      <c r="F36" s="4" t="s">
        <v>22</v>
      </c>
      <c r="G36" s="7">
        <v>32856</v>
      </c>
      <c r="H36" s="4" t="s">
        <v>637</v>
      </c>
      <c r="I36" s="4">
        <v>257</v>
      </c>
      <c r="J36" s="4" t="s">
        <v>638</v>
      </c>
      <c r="K36" s="4">
        <v>0.01</v>
      </c>
      <c r="L36" s="4" t="s">
        <v>395</v>
      </c>
      <c r="M36" s="7">
        <v>29986</v>
      </c>
      <c r="N36" s="6">
        <v>19</v>
      </c>
      <c r="O36" s="4" t="s">
        <v>196</v>
      </c>
      <c r="P36" s="4">
        <v>3900</v>
      </c>
      <c r="Q36" s="4">
        <v>0</v>
      </c>
      <c r="R36" s="4">
        <v>3900</v>
      </c>
      <c r="S36" s="4">
        <v>590</v>
      </c>
    </row>
    <row r="37" spans="1:19" x14ac:dyDescent="0.25">
      <c r="A37" s="12" t="str">
        <f>"10513005800"</f>
        <v>10513005800</v>
      </c>
      <c r="B37" s="5" t="s">
        <v>678</v>
      </c>
      <c r="C37" s="5" t="s">
        <v>20</v>
      </c>
      <c r="D37" s="11" t="s">
        <v>253</v>
      </c>
      <c r="E37" s="6">
        <v>37204</v>
      </c>
      <c r="F37" s="4" t="s">
        <v>22</v>
      </c>
      <c r="G37" s="7">
        <v>26995</v>
      </c>
      <c r="H37" s="4" t="s">
        <v>254</v>
      </c>
      <c r="I37" s="4">
        <v>220</v>
      </c>
      <c r="J37" s="4" t="s">
        <v>255</v>
      </c>
      <c r="K37" s="4">
        <v>0.06</v>
      </c>
      <c r="L37" s="4" t="s">
        <v>256</v>
      </c>
      <c r="M37" s="7">
        <v>5595</v>
      </c>
      <c r="N37" s="6">
        <v>18</v>
      </c>
      <c r="O37" s="4" t="s">
        <v>26</v>
      </c>
      <c r="P37" s="4">
        <v>33600</v>
      </c>
      <c r="Q37" s="4">
        <v>0</v>
      </c>
      <c r="R37" s="4">
        <v>33600</v>
      </c>
      <c r="S37" s="4">
        <v>2500</v>
      </c>
    </row>
    <row r="38" spans="1:19" x14ac:dyDescent="0.25">
      <c r="A38" s="12" t="str">
        <f>"11603001700"</f>
        <v>11603001700</v>
      </c>
      <c r="B38" s="5" t="s">
        <v>678</v>
      </c>
      <c r="C38" s="5" t="s">
        <v>20</v>
      </c>
      <c r="D38" s="11" t="s">
        <v>44</v>
      </c>
      <c r="E38" s="6">
        <v>37205</v>
      </c>
      <c r="F38" s="4" t="s">
        <v>22</v>
      </c>
      <c r="G38" s="7">
        <v>27410</v>
      </c>
      <c r="H38" s="4" t="s">
        <v>45</v>
      </c>
      <c r="I38" s="4">
        <v>234</v>
      </c>
      <c r="J38" s="4" t="s">
        <v>46</v>
      </c>
      <c r="K38" s="4">
        <v>0.02</v>
      </c>
      <c r="L38" s="4" t="s">
        <v>47</v>
      </c>
      <c r="M38" s="7">
        <v>5285</v>
      </c>
      <c r="N38" s="6">
        <v>24</v>
      </c>
      <c r="O38" s="4" t="s">
        <v>26</v>
      </c>
      <c r="P38" s="4">
        <v>3600</v>
      </c>
      <c r="Q38" s="4">
        <v>0</v>
      </c>
      <c r="R38" s="4">
        <v>3600</v>
      </c>
      <c r="S38" s="4">
        <v>855</v>
      </c>
    </row>
    <row r="39" spans="1:19" x14ac:dyDescent="0.25">
      <c r="A39" s="12" t="str">
        <f>"11604007100"</f>
        <v>11604007100</v>
      </c>
      <c r="B39" s="5" t="s">
        <v>19</v>
      </c>
      <c r="C39" s="5" t="s">
        <v>20</v>
      </c>
      <c r="D39" s="4" t="s">
        <v>330</v>
      </c>
      <c r="E39" s="6">
        <v>37205</v>
      </c>
      <c r="F39" s="4" t="s">
        <v>22</v>
      </c>
      <c r="G39" s="7">
        <v>27410</v>
      </c>
      <c r="H39" s="4" t="s">
        <v>331</v>
      </c>
      <c r="I39" s="4">
        <v>234</v>
      </c>
      <c r="J39" s="4" t="s">
        <v>332</v>
      </c>
      <c r="K39" s="4">
        <v>0.09</v>
      </c>
      <c r="L39" s="4" t="s">
        <v>47</v>
      </c>
      <c r="M39" s="7">
        <v>5285</v>
      </c>
      <c r="N39" s="6">
        <v>24</v>
      </c>
      <c r="O39" s="4" t="s">
        <v>26</v>
      </c>
      <c r="P39" s="4">
        <v>3600</v>
      </c>
      <c r="Q39" s="4">
        <v>0</v>
      </c>
      <c r="R39" s="4">
        <v>3600</v>
      </c>
      <c r="S39" s="4">
        <v>4089</v>
      </c>
    </row>
    <row r="40" spans="1:19" x14ac:dyDescent="0.25">
      <c r="A40" s="12" t="str">
        <f>"11603004800"</f>
        <v>11603004800</v>
      </c>
      <c r="B40" s="5" t="s">
        <v>19</v>
      </c>
      <c r="C40" s="5" t="s">
        <v>20</v>
      </c>
      <c r="D40" s="4" t="s">
        <v>416</v>
      </c>
      <c r="E40" s="6">
        <v>37205</v>
      </c>
      <c r="F40" s="4" t="s">
        <v>22</v>
      </c>
      <c r="G40" s="7">
        <v>27410</v>
      </c>
      <c r="H40" s="4" t="s">
        <v>417</v>
      </c>
      <c r="I40" s="4">
        <v>234</v>
      </c>
      <c r="J40" s="4" t="s">
        <v>418</v>
      </c>
      <c r="K40" s="4">
        <v>0.16</v>
      </c>
      <c r="L40" s="4" t="s">
        <v>47</v>
      </c>
      <c r="M40" s="7">
        <v>5285</v>
      </c>
      <c r="N40" s="6">
        <v>24</v>
      </c>
      <c r="O40" s="4" t="s">
        <v>26</v>
      </c>
      <c r="P40" s="4">
        <v>3600</v>
      </c>
      <c r="Q40" s="4">
        <v>0</v>
      </c>
      <c r="R40" s="4">
        <v>3600</v>
      </c>
      <c r="S40" s="4">
        <v>6756</v>
      </c>
    </row>
    <row r="41" spans="1:19" x14ac:dyDescent="0.25">
      <c r="A41" s="12" t="str">
        <f>"07213034500"</f>
        <v>07213034500</v>
      </c>
      <c r="B41" s="5" t="s">
        <v>678</v>
      </c>
      <c r="C41" s="5" t="s">
        <v>20</v>
      </c>
      <c r="D41" s="11" t="s">
        <v>81</v>
      </c>
      <c r="E41" s="6">
        <v>37206</v>
      </c>
      <c r="F41" s="4" t="s">
        <v>22</v>
      </c>
      <c r="G41" s="7">
        <v>40198</v>
      </c>
      <c r="H41" s="4" t="s">
        <v>82</v>
      </c>
      <c r="I41" s="4">
        <v>541</v>
      </c>
      <c r="J41" s="4" t="s">
        <v>83</v>
      </c>
      <c r="K41" s="4">
        <v>0.03</v>
      </c>
      <c r="L41" s="4" t="s">
        <v>84</v>
      </c>
      <c r="M41" s="7">
        <v>16931</v>
      </c>
      <c r="N41" s="6">
        <v>5</v>
      </c>
      <c r="O41" s="4" t="s">
        <v>26</v>
      </c>
      <c r="P41" s="4">
        <v>1700</v>
      </c>
      <c r="Q41" s="4">
        <v>0</v>
      </c>
      <c r="R41" s="4">
        <v>1700</v>
      </c>
      <c r="S41" s="4">
        <v>1697</v>
      </c>
    </row>
    <row r="42" spans="1:19" x14ac:dyDescent="0.25">
      <c r="A42" s="12" t="str">
        <f>"08304010000"</f>
        <v>08304010000</v>
      </c>
      <c r="B42" s="5" t="s">
        <v>678</v>
      </c>
      <c r="C42" s="5" t="s">
        <v>20</v>
      </c>
      <c r="D42" s="11" t="s">
        <v>364</v>
      </c>
      <c r="E42" s="6">
        <v>37206</v>
      </c>
      <c r="F42" s="4" t="s">
        <v>22</v>
      </c>
      <c r="G42" s="7">
        <v>41198</v>
      </c>
      <c r="H42" s="4" t="s">
        <v>365</v>
      </c>
      <c r="I42" s="4">
        <v>1321</v>
      </c>
      <c r="J42" s="4" t="s">
        <v>366</v>
      </c>
      <c r="K42" s="4">
        <v>0.11</v>
      </c>
      <c r="L42" s="4" t="s">
        <v>367</v>
      </c>
      <c r="M42" s="7">
        <v>26905</v>
      </c>
      <c r="N42" s="6">
        <v>7</v>
      </c>
      <c r="O42" s="4" t="s">
        <v>26</v>
      </c>
      <c r="P42" s="4">
        <v>600</v>
      </c>
      <c r="Q42" s="4">
        <v>0</v>
      </c>
      <c r="R42" s="4">
        <v>600</v>
      </c>
      <c r="S42" s="4">
        <v>5516</v>
      </c>
    </row>
    <row r="43" spans="1:19" x14ac:dyDescent="0.25">
      <c r="A43" s="12" t="str">
        <f>"08204035800"</f>
        <v>08204035800</v>
      </c>
      <c r="B43" s="5" t="s">
        <v>19</v>
      </c>
      <c r="C43" s="5" t="s">
        <v>20</v>
      </c>
      <c r="D43" s="4" t="s">
        <v>380</v>
      </c>
      <c r="E43" s="6">
        <v>37206</v>
      </c>
      <c r="F43" s="4" t="s">
        <v>22</v>
      </c>
      <c r="G43" s="7">
        <v>27984</v>
      </c>
      <c r="H43" s="4" t="s">
        <v>381</v>
      </c>
      <c r="I43" s="4">
        <v>292</v>
      </c>
      <c r="J43" s="4" t="s">
        <v>382</v>
      </c>
      <c r="K43" s="4">
        <v>0.12</v>
      </c>
      <c r="L43" s="4" t="s">
        <v>383</v>
      </c>
      <c r="M43" s="7">
        <v>23984</v>
      </c>
      <c r="N43" s="6">
        <v>5</v>
      </c>
      <c r="O43" s="4" t="s">
        <v>26</v>
      </c>
      <c r="P43" s="4">
        <v>4300</v>
      </c>
      <c r="Q43" s="4">
        <v>0</v>
      </c>
      <c r="R43" s="4">
        <v>4300</v>
      </c>
      <c r="S43" s="4">
        <v>5111</v>
      </c>
    </row>
    <row r="44" spans="1:19" x14ac:dyDescent="0.25">
      <c r="A44" s="12" t="str">
        <f>"08310032701"</f>
        <v>08310032701</v>
      </c>
      <c r="B44" s="5" t="s">
        <v>19</v>
      </c>
      <c r="C44" s="5" t="s">
        <v>20</v>
      </c>
      <c r="D44" s="4" t="s">
        <v>459</v>
      </c>
      <c r="E44" s="6">
        <v>37206</v>
      </c>
      <c r="F44" s="4" t="s">
        <v>22</v>
      </c>
      <c r="G44" s="7">
        <v>38966</v>
      </c>
      <c r="H44" s="4" t="s">
        <v>460</v>
      </c>
      <c r="I44" s="4">
        <v>7395</v>
      </c>
      <c r="J44" s="4" t="s">
        <v>461</v>
      </c>
      <c r="K44" s="4">
        <v>0.27</v>
      </c>
      <c r="L44" s="4" t="s">
        <v>462</v>
      </c>
      <c r="M44" s="7">
        <v>23651</v>
      </c>
      <c r="N44" s="6">
        <v>6</v>
      </c>
      <c r="O44" s="4" t="s">
        <v>26</v>
      </c>
      <c r="P44" s="4">
        <v>9200</v>
      </c>
      <c r="Q44" s="4">
        <v>0</v>
      </c>
      <c r="R44" s="4">
        <v>9200</v>
      </c>
      <c r="S44" s="4">
        <v>13672</v>
      </c>
    </row>
    <row r="45" spans="1:19" x14ac:dyDescent="0.25">
      <c r="A45" s="12" t="str">
        <f>"08204036000"</f>
        <v>08204036000</v>
      </c>
      <c r="B45" s="4" t="s">
        <v>19</v>
      </c>
      <c r="C45" s="5" t="s">
        <v>540</v>
      </c>
      <c r="D45" s="4" t="s">
        <v>541</v>
      </c>
      <c r="E45" s="6">
        <v>37206</v>
      </c>
      <c r="F45" s="4" t="s">
        <v>22</v>
      </c>
      <c r="G45" s="7">
        <v>27991</v>
      </c>
      <c r="H45" s="4" t="s">
        <v>542</v>
      </c>
      <c r="I45" s="4">
        <v>313</v>
      </c>
      <c r="J45" s="4" t="s">
        <v>543</v>
      </c>
      <c r="K45" s="4">
        <v>0.01</v>
      </c>
      <c r="L45" s="4" t="s">
        <v>544</v>
      </c>
      <c r="M45" s="7">
        <v>8105</v>
      </c>
      <c r="N45" s="6">
        <v>5</v>
      </c>
      <c r="O45" s="4" t="s">
        <v>26</v>
      </c>
      <c r="P45" s="4">
        <v>900</v>
      </c>
      <c r="Q45" s="4">
        <v>0</v>
      </c>
      <c r="R45" s="4">
        <v>900</v>
      </c>
      <c r="S45" s="4">
        <v>358</v>
      </c>
    </row>
    <row r="46" spans="1:19" x14ac:dyDescent="0.25">
      <c r="A46" s="12" t="str">
        <f>"08204025000"</f>
        <v>08204025000</v>
      </c>
      <c r="B46" s="4" t="s">
        <v>19</v>
      </c>
      <c r="C46" s="5" t="s">
        <v>540</v>
      </c>
      <c r="D46" s="4" t="s">
        <v>567</v>
      </c>
      <c r="E46" s="6">
        <v>37206</v>
      </c>
      <c r="F46" s="4" t="s">
        <v>22</v>
      </c>
      <c r="G46" s="7">
        <v>29566</v>
      </c>
      <c r="H46" s="4" t="s">
        <v>568</v>
      </c>
      <c r="I46" s="4" t="s">
        <v>50</v>
      </c>
      <c r="J46" s="4" t="s">
        <v>569</v>
      </c>
      <c r="K46" s="4">
        <v>0.01</v>
      </c>
      <c r="L46" s="4" t="s">
        <v>570</v>
      </c>
      <c r="M46" s="7">
        <v>23728</v>
      </c>
      <c r="N46" s="6">
        <v>5</v>
      </c>
      <c r="O46" s="4" t="s">
        <v>26</v>
      </c>
      <c r="P46" s="4">
        <v>500</v>
      </c>
      <c r="Q46" s="4">
        <v>0</v>
      </c>
      <c r="R46" s="4">
        <v>500</v>
      </c>
      <c r="S46" s="4">
        <v>470</v>
      </c>
    </row>
    <row r="47" spans="1:19" x14ac:dyDescent="0.25">
      <c r="A47" s="12" t="str">
        <f>"07213028200"</f>
        <v>07213028200</v>
      </c>
      <c r="B47" s="9" t="s">
        <v>681</v>
      </c>
      <c r="C47" s="9" t="s">
        <v>591</v>
      </c>
      <c r="D47" s="4" t="s">
        <v>616</v>
      </c>
      <c r="E47" s="6">
        <v>37206</v>
      </c>
      <c r="F47" s="4" t="s">
        <v>22</v>
      </c>
      <c r="G47" s="7">
        <v>29062</v>
      </c>
      <c r="H47" s="4" t="s">
        <v>617</v>
      </c>
      <c r="I47" s="4">
        <v>255</v>
      </c>
      <c r="J47" s="4" t="s">
        <v>618</v>
      </c>
      <c r="K47" s="4">
        <v>0.1</v>
      </c>
      <c r="L47" s="4" t="s">
        <v>619</v>
      </c>
      <c r="M47" s="7">
        <v>17787</v>
      </c>
      <c r="N47" s="6">
        <v>5</v>
      </c>
      <c r="O47" s="4" t="s">
        <v>26</v>
      </c>
      <c r="P47" s="4">
        <v>2700</v>
      </c>
      <c r="Q47" s="4">
        <v>0</v>
      </c>
      <c r="R47" s="4">
        <v>2700</v>
      </c>
      <c r="S47" s="4">
        <v>4368</v>
      </c>
    </row>
    <row r="48" spans="1:19" x14ac:dyDescent="0.25">
      <c r="A48" s="12" t="str">
        <f>"07213043500"</f>
        <v>07213043500</v>
      </c>
      <c r="B48" s="5" t="s">
        <v>19</v>
      </c>
      <c r="C48" s="5" t="s">
        <v>20</v>
      </c>
      <c r="D48" s="4" t="s">
        <v>77</v>
      </c>
      <c r="E48" s="6">
        <v>37207</v>
      </c>
      <c r="F48" s="4" t="s">
        <v>22</v>
      </c>
      <c r="G48" s="7">
        <v>28460</v>
      </c>
      <c r="H48" s="4" t="s">
        <v>78</v>
      </c>
      <c r="I48" s="4">
        <v>308</v>
      </c>
      <c r="J48" s="4" t="s">
        <v>79</v>
      </c>
      <c r="K48" s="4">
        <v>0.03</v>
      </c>
      <c r="L48" s="4" t="s">
        <v>80</v>
      </c>
      <c r="M48" s="7">
        <v>21361</v>
      </c>
      <c r="N48" s="6">
        <v>5</v>
      </c>
      <c r="O48" s="4" t="s">
        <v>26</v>
      </c>
      <c r="P48" s="4">
        <v>200</v>
      </c>
      <c r="Q48" s="4">
        <v>0</v>
      </c>
      <c r="R48" s="4">
        <v>200</v>
      </c>
      <c r="S48" s="4">
        <v>1781</v>
      </c>
    </row>
    <row r="49" spans="1:19" x14ac:dyDescent="0.25">
      <c r="A49" s="12" t="str">
        <f>"06001004400"</f>
        <v>06001004400</v>
      </c>
      <c r="B49" s="5" t="s">
        <v>678</v>
      </c>
      <c r="C49" s="5" t="s">
        <v>20</v>
      </c>
      <c r="D49" s="11" t="s">
        <v>92</v>
      </c>
      <c r="E49" s="6">
        <v>37207</v>
      </c>
      <c r="F49" s="4" t="s">
        <v>22</v>
      </c>
      <c r="G49" s="7">
        <v>42139</v>
      </c>
      <c r="H49" s="4" t="s">
        <v>93</v>
      </c>
      <c r="I49" s="4">
        <v>2321</v>
      </c>
      <c r="J49" s="4" t="s">
        <v>94</v>
      </c>
      <c r="K49" s="4">
        <v>0.04</v>
      </c>
      <c r="L49" s="4" t="s">
        <v>95</v>
      </c>
      <c r="M49" s="7">
        <v>21642</v>
      </c>
      <c r="N49" s="6">
        <v>2</v>
      </c>
      <c r="O49" s="4" t="s">
        <v>26</v>
      </c>
      <c r="P49" s="4">
        <v>500</v>
      </c>
      <c r="Q49" s="4">
        <v>0</v>
      </c>
      <c r="R49" s="4">
        <v>500</v>
      </c>
      <c r="S49" s="4">
        <v>2020</v>
      </c>
    </row>
    <row r="50" spans="1:19" x14ac:dyDescent="0.25">
      <c r="A50" s="12" t="str">
        <f>"06011001700"</f>
        <v>06011001700</v>
      </c>
      <c r="B50" s="5" t="s">
        <v>19</v>
      </c>
      <c r="C50" s="5" t="s">
        <v>20</v>
      </c>
      <c r="D50" s="4" t="s">
        <v>166</v>
      </c>
      <c r="E50" s="6">
        <v>37207</v>
      </c>
      <c r="F50" s="4" t="s">
        <v>22</v>
      </c>
      <c r="G50" s="7">
        <v>35655</v>
      </c>
      <c r="H50" s="4" t="s">
        <v>167</v>
      </c>
      <c r="I50" s="4">
        <v>304</v>
      </c>
      <c r="J50" s="4" t="s">
        <v>168</v>
      </c>
      <c r="K50" s="4">
        <v>0.05</v>
      </c>
      <c r="L50" s="4" t="s">
        <v>169</v>
      </c>
      <c r="M50" s="7">
        <v>22843</v>
      </c>
      <c r="N50" s="6">
        <v>2</v>
      </c>
      <c r="O50" s="4" t="s">
        <v>26</v>
      </c>
      <c r="P50" s="4">
        <v>1500</v>
      </c>
      <c r="Q50" s="4">
        <v>0</v>
      </c>
      <c r="R50" s="4">
        <v>1500</v>
      </c>
      <c r="S50" s="4">
        <v>2595</v>
      </c>
    </row>
    <row r="51" spans="1:19" x14ac:dyDescent="0.25">
      <c r="A51" s="12" t="str">
        <f>"05914020500"</f>
        <v>05914020500</v>
      </c>
      <c r="B51" s="5" t="s">
        <v>678</v>
      </c>
      <c r="C51" s="5" t="s">
        <v>20</v>
      </c>
      <c r="D51" s="11" t="s">
        <v>170</v>
      </c>
      <c r="E51" s="6">
        <v>37207</v>
      </c>
      <c r="F51" s="4" t="s">
        <v>22</v>
      </c>
      <c r="G51" s="7">
        <v>29678</v>
      </c>
      <c r="H51" s="4" t="s">
        <v>171</v>
      </c>
      <c r="I51" s="4">
        <v>136</v>
      </c>
      <c r="J51" s="4" t="s">
        <v>172</v>
      </c>
      <c r="K51" s="4">
        <v>0.05</v>
      </c>
      <c r="L51" s="4" t="s">
        <v>173</v>
      </c>
      <c r="M51" s="7">
        <v>23400</v>
      </c>
      <c r="N51" s="6">
        <v>2</v>
      </c>
      <c r="O51" s="4" t="s">
        <v>26</v>
      </c>
      <c r="P51" s="4">
        <v>700</v>
      </c>
      <c r="Q51" s="4">
        <v>0</v>
      </c>
      <c r="R51" s="4">
        <v>700</v>
      </c>
      <c r="S51" s="4">
        <v>496</v>
      </c>
    </row>
    <row r="52" spans="1:19" x14ac:dyDescent="0.25">
      <c r="A52" s="12" t="str">
        <f>"07213043700"</f>
        <v>07213043700</v>
      </c>
      <c r="B52" s="5" t="s">
        <v>19</v>
      </c>
      <c r="C52" s="5" t="s">
        <v>20</v>
      </c>
      <c r="D52" s="4" t="s">
        <v>178</v>
      </c>
      <c r="E52" s="6">
        <v>37207</v>
      </c>
      <c r="F52" s="4" t="s">
        <v>22</v>
      </c>
      <c r="G52" s="7">
        <v>28068</v>
      </c>
      <c r="H52" s="4" t="s">
        <v>179</v>
      </c>
      <c r="I52" s="4">
        <v>220</v>
      </c>
      <c r="J52" s="4" t="s">
        <v>180</v>
      </c>
      <c r="K52" s="4">
        <v>0.05</v>
      </c>
      <c r="L52" s="4" t="s">
        <v>181</v>
      </c>
      <c r="M52" s="7">
        <v>18067</v>
      </c>
      <c r="N52" s="6">
        <v>5</v>
      </c>
      <c r="O52" s="4" t="s">
        <v>26</v>
      </c>
      <c r="P52" s="4">
        <v>200</v>
      </c>
      <c r="Q52" s="4">
        <v>0</v>
      </c>
      <c r="R52" s="4">
        <v>200</v>
      </c>
      <c r="S52" s="4">
        <v>2566</v>
      </c>
    </row>
    <row r="53" spans="1:19" x14ac:dyDescent="0.25">
      <c r="A53" s="12" t="str">
        <f>"07008001700"</f>
        <v>07008001700</v>
      </c>
      <c r="B53" s="5" t="s">
        <v>19</v>
      </c>
      <c r="C53" s="5" t="s">
        <v>20</v>
      </c>
      <c r="D53" s="4" t="s">
        <v>241</v>
      </c>
      <c r="E53" s="6">
        <v>37207</v>
      </c>
      <c r="F53" s="4" t="s">
        <v>22</v>
      </c>
      <c r="G53" s="7">
        <v>36553</v>
      </c>
      <c r="H53" s="4" t="s">
        <v>242</v>
      </c>
      <c r="I53" s="4">
        <v>1027</v>
      </c>
      <c r="J53" s="4" t="s">
        <v>243</v>
      </c>
      <c r="K53" s="4">
        <v>0.06</v>
      </c>
      <c r="L53" s="4" t="s">
        <v>244</v>
      </c>
      <c r="M53" s="7">
        <v>33261</v>
      </c>
      <c r="N53" s="6">
        <v>2</v>
      </c>
      <c r="O53" s="4" t="s">
        <v>26</v>
      </c>
      <c r="P53" s="4">
        <v>7500</v>
      </c>
      <c r="Q53" s="4">
        <v>0</v>
      </c>
      <c r="R53" s="4">
        <v>7500</v>
      </c>
      <c r="S53" s="4">
        <v>2637</v>
      </c>
    </row>
    <row r="54" spans="1:19" x14ac:dyDescent="0.25">
      <c r="A54" s="12" t="str">
        <f>"07105022901"</f>
        <v>07105022901</v>
      </c>
      <c r="B54" s="5" t="s">
        <v>19</v>
      </c>
      <c r="C54" s="5" t="s">
        <v>20</v>
      </c>
      <c r="D54" s="4" t="s">
        <v>261</v>
      </c>
      <c r="E54" s="6">
        <v>37207</v>
      </c>
      <c r="F54" s="4" t="s">
        <v>22</v>
      </c>
      <c r="G54" s="7">
        <v>39982</v>
      </c>
      <c r="H54" s="4" t="s">
        <v>262</v>
      </c>
      <c r="I54" s="4">
        <v>39500</v>
      </c>
      <c r="J54" s="4" t="s">
        <v>263</v>
      </c>
      <c r="K54" s="4">
        <v>7.0000000000000007E-2</v>
      </c>
      <c r="L54" s="4" t="s">
        <v>264</v>
      </c>
      <c r="M54" s="7">
        <v>27039</v>
      </c>
      <c r="N54" s="6">
        <v>2</v>
      </c>
      <c r="O54" s="4" t="s">
        <v>26</v>
      </c>
      <c r="P54" s="4">
        <v>7500</v>
      </c>
      <c r="Q54" s="4">
        <v>0</v>
      </c>
      <c r="R54" s="4">
        <v>7500</v>
      </c>
      <c r="S54" s="4">
        <v>5917</v>
      </c>
    </row>
    <row r="55" spans="1:19" x14ac:dyDescent="0.25">
      <c r="A55" s="12" t="str">
        <f>"06013007800"</f>
        <v>06013007800</v>
      </c>
      <c r="B55" s="5" t="s">
        <v>19</v>
      </c>
      <c r="C55" s="5" t="s">
        <v>20</v>
      </c>
      <c r="D55" s="4" t="s">
        <v>289</v>
      </c>
      <c r="E55" s="6">
        <v>37207</v>
      </c>
      <c r="F55" s="4" t="s">
        <v>22</v>
      </c>
      <c r="G55" s="7">
        <v>32898</v>
      </c>
      <c r="H55" s="4" t="s">
        <v>290</v>
      </c>
      <c r="I55" s="4">
        <v>239</v>
      </c>
      <c r="J55" s="4" t="s">
        <v>291</v>
      </c>
      <c r="K55" s="4">
        <v>0.08</v>
      </c>
      <c r="L55" s="4" t="s">
        <v>292</v>
      </c>
      <c r="M55" s="7">
        <v>24957</v>
      </c>
      <c r="N55" s="6">
        <v>2</v>
      </c>
      <c r="O55" s="4" t="s">
        <v>26</v>
      </c>
      <c r="P55" s="4">
        <v>300</v>
      </c>
      <c r="Q55" s="4">
        <v>0</v>
      </c>
      <c r="R55" s="4">
        <v>300</v>
      </c>
      <c r="S55" s="4">
        <v>3655</v>
      </c>
    </row>
    <row r="56" spans="1:19" x14ac:dyDescent="0.25">
      <c r="A56" s="12" t="str">
        <f>"07213043600"</f>
        <v>07213043600</v>
      </c>
      <c r="B56" s="5" t="s">
        <v>19</v>
      </c>
      <c r="C56" s="5" t="s">
        <v>20</v>
      </c>
      <c r="D56" s="4" t="s">
        <v>77</v>
      </c>
      <c r="E56" s="6">
        <v>37207</v>
      </c>
      <c r="F56" s="4" t="s">
        <v>22</v>
      </c>
      <c r="G56" s="7">
        <v>28145</v>
      </c>
      <c r="H56" s="4" t="s">
        <v>293</v>
      </c>
      <c r="I56" s="4">
        <v>328</v>
      </c>
      <c r="J56" s="4" t="s">
        <v>294</v>
      </c>
      <c r="K56" s="4">
        <v>0.08</v>
      </c>
      <c r="L56" s="4" t="s">
        <v>295</v>
      </c>
      <c r="M56" s="7">
        <v>17840</v>
      </c>
      <c r="N56" s="6">
        <v>5</v>
      </c>
      <c r="O56" s="4" t="s">
        <v>26</v>
      </c>
      <c r="P56" s="4">
        <v>200</v>
      </c>
      <c r="Q56" s="4">
        <v>0</v>
      </c>
      <c r="R56" s="4">
        <v>200</v>
      </c>
      <c r="S56" s="4">
        <v>3579</v>
      </c>
    </row>
    <row r="57" spans="1:19" x14ac:dyDescent="0.25">
      <c r="A57" s="12" t="str">
        <f>"07008009300"</f>
        <v>07008009300</v>
      </c>
      <c r="B57" s="5" t="s">
        <v>19</v>
      </c>
      <c r="C57" s="5" t="s">
        <v>20</v>
      </c>
      <c r="D57" s="4" t="s">
        <v>308</v>
      </c>
      <c r="E57" s="6">
        <v>37207</v>
      </c>
      <c r="F57" s="4" t="s">
        <v>22</v>
      </c>
      <c r="G57" s="7">
        <v>28880</v>
      </c>
      <c r="H57" s="4" t="s">
        <v>309</v>
      </c>
      <c r="I57" s="4">
        <v>204</v>
      </c>
      <c r="J57" s="4" t="s">
        <v>310</v>
      </c>
      <c r="K57" s="4">
        <v>0.08</v>
      </c>
      <c r="L57" s="4" t="s">
        <v>311</v>
      </c>
      <c r="M57" s="7">
        <v>1003</v>
      </c>
      <c r="N57" s="6">
        <v>2</v>
      </c>
      <c r="O57" s="4" t="s">
        <v>26</v>
      </c>
      <c r="P57" s="4">
        <v>27100</v>
      </c>
      <c r="Q57" s="4">
        <v>0</v>
      </c>
      <c r="R57" s="4">
        <v>27100</v>
      </c>
      <c r="S57" s="4">
        <v>3387</v>
      </c>
    </row>
    <row r="58" spans="1:19" x14ac:dyDescent="0.25">
      <c r="A58" s="12" t="str">
        <f>"06009001400"</f>
        <v>06009001400</v>
      </c>
      <c r="B58" s="5" t="s">
        <v>19</v>
      </c>
      <c r="C58" s="5" t="s">
        <v>20</v>
      </c>
      <c r="D58" s="4" t="s">
        <v>320</v>
      </c>
      <c r="E58" s="6">
        <v>37207</v>
      </c>
      <c r="F58" s="4" t="s">
        <v>22</v>
      </c>
      <c r="G58" s="7">
        <v>39708</v>
      </c>
      <c r="H58" s="4" t="s">
        <v>321</v>
      </c>
      <c r="I58" s="4">
        <v>710</v>
      </c>
      <c r="J58" s="4" t="s">
        <v>322</v>
      </c>
      <c r="K58" s="4">
        <v>0.09</v>
      </c>
      <c r="L58" s="4" t="s">
        <v>323</v>
      </c>
      <c r="M58" s="7">
        <v>31107</v>
      </c>
      <c r="N58" s="6">
        <v>2</v>
      </c>
      <c r="O58" s="4" t="s">
        <v>26</v>
      </c>
      <c r="P58" s="4">
        <v>300</v>
      </c>
      <c r="Q58" s="4">
        <v>0</v>
      </c>
      <c r="R58" s="4">
        <v>300</v>
      </c>
      <c r="S58" s="4">
        <v>2154</v>
      </c>
    </row>
    <row r="59" spans="1:19" x14ac:dyDescent="0.25">
      <c r="A59" s="12" t="str">
        <f>"07008006700"</f>
        <v>07008006700</v>
      </c>
      <c r="B59" s="5" t="s">
        <v>19</v>
      </c>
      <c r="C59" s="5" t="s">
        <v>20</v>
      </c>
      <c r="D59" s="4" t="s">
        <v>333</v>
      </c>
      <c r="E59" s="6">
        <v>37207</v>
      </c>
      <c r="F59" s="4" t="s">
        <v>22</v>
      </c>
      <c r="G59" s="7">
        <v>33374</v>
      </c>
      <c r="H59" s="4" t="s">
        <v>334</v>
      </c>
      <c r="I59" s="4">
        <v>1326</v>
      </c>
      <c r="J59" s="4" t="s">
        <v>335</v>
      </c>
      <c r="K59" s="4">
        <v>0.1</v>
      </c>
      <c r="L59" s="4" t="s">
        <v>336</v>
      </c>
      <c r="M59" s="7">
        <v>33380</v>
      </c>
      <c r="N59" s="6">
        <v>2</v>
      </c>
      <c r="O59" s="4" t="s">
        <v>26</v>
      </c>
      <c r="P59" s="4">
        <v>28100</v>
      </c>
      <c r="Q59" s="4">
        <v>0</v>
      </c>
      <c r="R59" s="4">
        <v>28100</v>
      </c>
      <c r="S59" s="4">
        <v>5428</v>
      </c>
    </row>
    <row r="60" spans="1:19" x14ac:dyDescent="0.25">
      <c r="A60" s="12" t="str">
        <f>"041140A04200CO"</f>
        <v>041140A04200CO</v>
      </c>
      <c r="B60" s="5" t="s">
        <v>678</v>
      </c>
      <c r="C60" s="5" t="s">
        <v>20</v>
      </c>
      <c r="D60" s="11" t="s">
        <v>341</v>
      </c>
      <c r="E60" s="6">
        <v>37207</v>
      </c>
      <c r="F60" s="4" t="s">
        <v>22</v>
      </c>
      <c r="G60" s="7">
        <v>41472</v>
      </c>
      <c r="H60" s="4" t="s">
        <v>342</v>
      </c>
      <c r="I60" s="4">
        <v>393</v>
      </c>
      <c r="J60" s="4" t="s">
        <v>343</v>
      </c>
      <c r="K60" s="4">
        <v>0.1</v>
      </c>
      <c r="L60" s="4" t="s">
        <v>344</v>
      </c>
      <c r="M60" s="7">
        <v>38141</v>
      </c>
      <c r="N60" s="6">
        <v>3</v>
      </c>
      <c r="O60" s="4" t="s">
        <v>26</v>
      </c>
      <c r="P60" s="4">
        <v>1100</v>
      </c>
      <c r="Q60" s="4">
        <v>0</v>
      </c>
      <c r="R60" s="4">
        <v>1100</v>
      </c>
      <c r="S60" s="4">
        <v>4507</v>
      </c>
    </row>
    <row r="61" spans="1:19" x14ac:dyDescent="0.25">
      <c r="A61" s="12" t="str">
        <f>"06007002900"</f>
        <v>06007002900</v>
      </c>
      <c r="B61" s="5" t="s">
        <v>678</v>
      </c>
      <c r="C61" s="5" t="s">
        <v>20</v>
      </c>
      <c r="D61" s="11" t="s">
        <v>345</v>
      </c>
      <c r="E61" s="6">
        <v>37207</v>
      </c>
      <c r="F61" s="4" t="s">
        <v>22</v>
      </c>
      <c r="G61" s="7">
        <v>40198</v>
      </c>
      <c r="H61" s="4" t="s">
        <v>346</v>
      </c>
      <c r="I61" s="4">
        <v>474</v>
      </c>
      <c r="J61" s="4" t="s">
        <v>347</v>
      </c>
      <c r="K61" s="4">
        <v>0.11</v>
      </c>
      <c r="L61" s="4" t="s">
        <v>348</v>
      </c>
      <c r="M61" s="7">
        <v>23664</v>
      </c>
      <c r="N61" s="6">
        <v>2</v>
      </c>
      <c r="O61" s="4" t="s">
        <v>26</v>
      </c>
      <c r="P61" s="4">
        <v>6000</v>
      </c>
      <c r="Q61" s="4">
        <v>0</v>
      </c>
      <c r="R61" s="4">
        <v>6000</v>
      </c>
      <c r="S61" s="4">
        <v>4777</v>
      </c>
    </row>
    <row r="62" spans="1:19" x14ac:dyDescent="0.25">
      <c r="A62" s="12" t="str">
        <f>"05911014800"</f>
        <v>05911014800</v>
      </c>
      <c r="B62" s="5" t="s">
        <v>19</v>
      </c>
      <c r="C62" s="5" t="s">
        <v>20</v>
      </c>
      <c r="D62" s="4" t="s">
        <v>349</v>
      </c>
      <c r="E62" s="6">
        <v>37207</v>
      </c>
      <c r="F62" s="4" t="s">
        <v>22</v>
      </c>
      <c r="G62" s="7">
        <v>35655</v>
      </c>
      <c r="H62" s="4" t="s">
        <v>350</v>
      </c>
      <c r="I62" s="4" t="s">
        <v>50</v>
      </c>
      <c r="J62" s="4" t="s">
        <v>351</v>
      </c>
      <c r="K62" s="4">
        <v>0.11</v>
      </c>
      <c r="L62" s="4" t="s">
        <v>173</v>
      </c>
      <c r="M62" s="7">
        <v>23378</v>
      </c>
      <c r="N62" s="6">
        <v>2</v>
      </c>
      <c r="O62" s="4" t="s">
        <v>26</v>
      </c>
      <c r="P62" s="4">
        <v>1500</v>
      </c>
      <c r="Q62" s="4">
        <v>0</v>
      </c>
      <c r="R62" s="4">
        <v>1500</v>
      </c>
      <c r="S62" s="4">
        <v>4819</v>
      </c>
    </row>
    <row r="63" spans="1:19" x14ac:dyDescent="0.25">
      <c r="A63" s="12" t="str">
        <f>"06113001800"</f>
        <v>06113001800</v>
      </c>
      <c r="B63" s="5" t="s">
        <v>678</v>
      </c>
      <c r="C63" s="5" t="s">
        <v>20</v>
      </c>
      <c r="D63" s="11" t="s">
        <v>356</v>
      </c>
      <c r="E63" s="6">
        <v>37207</v>
      </c>
      <c r="F63" s="4" t="s">
        <v>22</v>
      </c>
      <c r="G63" s="7">
        <v>31841</v>
      </c>
      <c r="H63" s="4" t="s">
        <v>357</v>
      </c>
      <c r="I63" s="4">
        <v>434</v>
      </c>
      <c r="J63" s="4" t="s">
        <v>358</v>
      </c>
      <c r="K63" s="4">
        <v>0.11</v>
      </c>
      <c r="L63" s="4" t="s">
        <v>359</v>
      </c>
      <c r="M63" s="7">
        <v>26094</v>
      </c>
      <c r="N63" s="6">
        <v>8</v>
      </c>
      <c r="O63" s="4" t="s">
        <v>26</v>
      </c>
      <c r="P63" s="4">
        <v>100</v>
      </c>
      <c r="Q63" s="4">
        <v>0</v>
      </c>
      <c r="R63" s="4">
        <v>100</v>
      </c>
      <c r="S63" s="4">
        <v>4920</v>
      </c>
    </row>
    <row r="64" spans="1:19" x14ac:dyDescent="0.25">
      <c r="A64" s="12" t="str">
        <f>"07213043400"</f>
        <v>07213043400</v>
      </c>
      <c r="B64" s="5" t="s">
        <v>19</v>
      </c>
      <c r="C64" s="5" t="s">
        <v>20</v>
      </c>
      <c r="D64" s="4" t="s">
        <v>360</v>
      </c>
      <c r="E64" s="6">
        <v>37207</v>
      </c>
      <c r="F64" s="4" t="s">
        <v>22</v>
      </c>
      <c r="G64" s="7">
        <v>28733</v>
      </c>
      <c r="H64" s="4" t="s">
        <v>361</v>
      </c>
      <c r="I64" s="4">
        <v>213</v>
      </c>
      <c r="J64" s="4" t="s">
        <v>362</v>
      </c>
      <c r="K64" s="4">
        <v>0.11</v>
      </c>
      <c r="L64" s="4" t="s">
        <v>363</v>
      </c>
      <c r="M64" s="7">
        <v>17836</v>
      </c>
      <c r="N64" s="6">
        <v>5</v>
      </c>
      <c r="O64" s="4" t="s">
        <v>26</v>
      </c>
      <c r="P64" s="4">
        <v>200</v>
      </c>
      <c r="Q64" s="4">
        <v>0</v>
      </c>
      <c r="R64" s="4">
        <v>200</v>
      </c>
      <c r="S64" s="4">
        <v>4696</v>
      </c>
    </row>
    <row r="65" spans="1:19" x14ac:dyDescent="0.25">
      <c r="A65" s="12" t="str">
        <f>"06013021500"</f>
        <v>06013021500</v>
      </c>
      <c r="B65" s="5" t="s">
        <v>19</v>
      </c>
      <c r="C65" s="5" t="s">
        <v>20</v>
      </c>
      <c r="D65" s="4" t="s">
        <v>372</v>
      </c>
      <c r="E65" s="6">
        <v>37207</v>
      </c>
      <c r="F65" s="4" t="s">
        <v>22</v>
      </c>
      <c r="G65" s="7">
        <v>40828</v>
      </c>
      <c r="H65" s="4" t="s">
        <v>373</v>
      </c>
      <c r="I65" s="4">
        <v>554</v>
      </c>
      <c r="J65" s="4" t="s">
        <v>374</v>
      </c>
      <c r="K65" s="4">
        <v>0.12</v>
      </c>
      <c r="L65" s="4" t="s">
        <v>375</v>
      </c>
      <c r="M65" s="7">
        <v>39169</v>
      </c>
      <c r="N65" s="6">
        <v>2</v>
      </c>
      <c r="O65" s="4" t="s">
        <v>26</v>
      </c>
      <c r="P65" s="4">
        <v>14000</v>
      </c>
      <c r="Q65" s="4">
        <v>0</v>
      </c>
      <c r="R65" s="4">
        <v>14000</v>
      </c>
      <c r="S65" s="4">
        <v>4807</v>
      </c>
    </row>
    <row r="66" spans="1:19" x14ac:dyDescent="0.25">
      <c r="A66" s="12" t="str">
        <f>"06013006300"</f>
        <v>06013006300</v>
      </c>
      <c r="B66" s="5" t="s">
        <v>678</v>
      </c>
      <c r="C66" s="5" t="s">
        <v>20</v>
      </c>
      <c r="D66" s="11" t="s">
        <v>388</v>
      </c>
      <c r="E66" s="6">
        <v>37207</v>
      </c>
      <c r="F66" s="4" t="s">
        <v>22</v>
      </c>
      <c r="G66" s="7">
        <v>40828</v>
      </c>
      <c r="H66" s="4" t="s">
        <v>389</v>
      </c>
      <c r="I66" s="4">
        <v>578</v>
      </c>
      <c r="J66" s="4" t="s">
        <v>390</v>
      </c>
      <c r="K66" s="4">
        <v>0.13</v>
      </c>
      <c r="L66" s="4" t="s">
        <v>375</v>
      </c>
      <c r="M66" s="7">
        <v>39169</v>
      </c>
      <c r="N66" s="6">
        <v>2</v>
      </c>
      <c r="O66" s="4" t="s">
        <v>26</v>
      </c>
      <c r="P66" s="4">
        <v>14000</v>
      </c>
      <c r="Q66" s="4">
        <v>0</v>
      </c>
      <c r="R66" s="4">
        <v>14000</v>
      </c>
      <c r="S66" s="4">
        <v>5779</v>
      </c>
    </row>
    <row r="67" spans="1:19" x14ac:dyDescent="0.25">
      <c r="A67" s="12" t="str">
        <f>"07201001400"</f>
        <v>07201001400</v>
      </c>
      <c r="B67" s="5" t="s">
        <v>678</v>
      </c>
      <c r="C67" s="5" t="s">
        <v>20</v>
      </c>
      <c r="D67" s="11" t="s">
        <v>408</v>
      </c>
      <c r="E67" s="6">
        <v>37207</v>
      </c>
      <c r="F67" s="4" t="s">
        <v>22</v>
      </c>
      <c r="G67" s="7">
        <v>41444</v>
      </c>
      <c r="H67" s="4" t="s">
        <v>409</v>
      </c>
      <c r="I67" s="4">
        <v>598</v>
      </c>
      <c r="J67" s="4" t="s">
        <v>410</v>
      </c>
      <c r="K67" s="4">
        <v>0.16</v>
      </c>
      <c r="L67" s="4" t="s">
        <v>411</v>
      </c>
      <c r="M67" s="7">
        <v>22766</v>
      </c>
      <c r="N67" s="6">
        <v>8</v>
      </c>
      <c r="O67" s="4" t="s">
        <v>26</v>
      </c>
      <c r="P67" s="4">
        <v>100</v>
      </c>
      <c r="Q67" s="4">
        <v>0</v>
      </c>
      <c r="R67" s="4">
        <v>100</v>
      </c>
      <c r="S67" s="4">
        <v>6752</v>
      </c>
    </row>
    <row r="68" spans="1:19" x14ac:dyDescent="0.25">
      <c r="A68" s="12" t="str">
        <f>"05916017200"</f>
        <v>05916017200</v>
      </c>
      <c r="B68" s="5" t="s">
        <v>19</v>
      </c>
      <c r="C68" s="5" t="s">
        <v>20</v>
      </c>
      <c r="D68" s="4" t="s">
        <v>423</v>
      </c>
      <c r="E68" s="6">
        <v>37207</v>
      </c>
      <c r="F68" s="4" t="s">
        <v>22</v>
      </c>
      <c r="G68" s="7">
        <v>41198</v>
      </c>
      <c r="H68" s="4" t="s">
        <v>424</v>
      </c>
      <c r="I68" s="4">
        <v>757</v>
      </c>
      <c r="J68" s="4" t="s">
        <v>425</v>
      </c>
      <c r="K68" s="4">
        <v>0.17</v>
      </c>
      <c r="L68" s="4" t="s">
        <v>426</v>
      </c>
      <c r="M68" s="7">
        <v>18791</v>
      </c>
      <c r="N68" s="6">
        <v>2</v>
      </c>
      <c r="O68" s="4" t="s">
        <v>26</v>
      </c>
      <c r="P68" s="4">
        <v>7500</v>
      </c>
      <c r="Q68" s="4">
        <v>0</v>
      </c>
      <c r="R68" s="4">
        <v>7500</v>
      </c>
      <c r="S68" s="4">
        <v>7455</v>
      </c>
    </row>
    <row r="69" spans="1:19" x14ac:dyDescent="0.25">
      <c r="A69" s="12" t="str">
        <f>"05916016300"</f>
        <v>05916016300</v>
      </c>
      <c r="B69" s="5" t="s">
        <v>19</v>
      </c>
      <c r="C69" s="5" t="s">
        <v>20</v>
      </c>
      <c r="D69" s="4" t="s">
        <v>427</v>
      </c>
      <c r="E69" s="6">
        <v>37207</v>
      </c>
      <c r="F69" s="4" t="s">
        <v>22</v>
      </c>
      <c r="G69" s="7">
        <v>41444</v>
      </c>
      <c r="H69" s="4" t="s">
        <v>428</v>
      </c>
      <c r="I69" s="4">
        <v>442</v>
      </c>
      <c r="J69" s="4" t="s">
        <v>425</v>
      </c>
      <c r="K69" s="4">
        <v>0.17</v>
      </c>
      <c r="L69" s="4" t="s">
        <v>429</v>
      </c>
      <c r="M69" s="7">
        <v>18268</v>
      </c>
      <c r="N69" s="6">
        <v>2</v>
      </c>
      <c r="O69" s="4" t="s">
        <v>26</v>
      </c>
      <c r="P69" s="4">
        <v>7500</v>
      </c>
      <c r="Q69" s="4">
        <v>0</v>
      </c>
      <c r="R69" s="4">
        <v>7500</v>
      </c>
      <c r="S69" s="4">
        <v>7321</v>
      </c>
    </row>
    <row r="70" spans="1:19" x14ac:dyDescent="0.25">
      <c r="A70" s="12" t="str">
        <f>"05015022700"</f>
        <v>05015022700</v>
      </c>
      <c r="B70" s="5" t="s">
        <v>19</v>
      </c>
      <c r="C70" s="5" t="s">
        <v>20</v>
      </c>
      <c r="D70" s="4" t="s">
        <v>483</v>
      </c>
      <c r="E70" s="6">
        <v>37207</v>
      </c>
      <c r="F70" s="4" t="s">
        <v>22</v>
      </c>
      <c r="G70" s="7">
        <v>41444</v>
      </c>
      <c r="H70" s="4" t="s">
        <v>484</v>
      </c>
      <c r="I70" s="4">
        <v>554</v>
      </c>
      <c r="J70" s="4" t="s">
        <v>485</v>
      </c>
      <c r="K70" s="4">
        <v>0.41</v>
      </c>
      <c r="L70" s="4" t="s">
        <v>486</v>
      </c>
      <c r="M70" s="7">
        <v>19285</v>
      </c>
      <c r="N70" s="6">
        <v>3</v>
      </c>
      <c r="O70" s="4" t="s">
        <v>26</v>
      </c>
      <c r="P70" s="4">
        <v>1500</v>
      </c>
      <c r="Q70" s="4">
        <v>0</v>
      </c>
      <c r="R70" s="4">
        <v>1500</v>
      </c>
      <c r="S70" s="4">
        <v>17959</v>
      </c>
    </row>
    <row r="71" spans="1:19" x14ac:dyDescent="0.25">
      <c r="A71" s="12" t="str">
        <f>"05000006900"</f>
        <v>05000006900</v>
      </c>
      <c r="B71" s="5" t="s">
        <v>19</v>
      </c>
      <c r="C71" s="5" t="s">
        <v>20</v>
      </c>
      <c r="D71" s="4" t="s">
        <v>487</v>
      </c>
      <c r="E71" s="6">
        <v>37207</v>
      </c>
      <c r="F71" s="4" t="s">
        <v>22</v>
      </c>
      <c r="G71" s="7">
        <v>41171</v>
      </c>
      <c r="H71" s="4" t="s">
        <v>488</v>
      </c>
      <c r="I71" s="4">
        <v>474</v>
      </c>
      <c r="J71" s="4" t="s">
        <v>489</v>
      </c>
      <c r="K71" s="4">
        <v>0.43</v>
      </c>
      <c r="L71" s="4" t="s">
        <v>490</v>
      </c>
      <c r="M71" s="7">
        <v>22327</v>
      </c>
      <c r="N71" s="6">
        <v>8</v>
      </c>
      <c r="O71" s="4" t="s">
        <v>26</v>
      </c>
      <c r="P71" s="4">
        <v>8300</v>
      </c>
      <c r="Q71" s="4">
        <v>0</v>
      </c>
      <c r="R71" s="4">
        <v>8300</v>
      </c>
      <c r="S71" s="4">
        <v>18802</v>
      </c>
    </row>
    <row r="72" spans="1:19" x14ac:dyDescent="0.25">
      <c r="A72" s="12" t="str">
        <f>"05900012400"</f>
        <v>05900012400</v>
      </c>
      <c r="B72" s="5" t="s">
        <v>19</v>
      </c>
      <c r="C72" s="5" t="s">
        <v>20</v>
      </c>
      <c r="D72" s="4" t="s">
        <v>503</v>
      </c>
      <c r="E72" s="6">
        <v>37207</v>
      </c>
      <c r="F72" s="4" t="s">
        <v>22</v>
      </c>
      <c r="G72" s="7">
        <v>41444</v>
      </c>
      <c r="H72" s="4" t="s">
        <v>504</v>
      </c>
      <c r="I72" s="4">
        <v>2368</v>
      </c>
      <c r="J72" s="4" t="s">
        <v>505</v>
      </c>
      <c r="K72" s="4">
        <v>0.54</v>
      </c>
      <c r="L72" s="4" t="s">
        <v>506</v>
      </c>
      <c r="M72" s="7">
        <v>21766</v>
      </c>
      <c r="N72" s="6">
        <v>2</v>
      </c>
      <c r="O72" s="4" t="s">
        <v>26</v>
      </c>
      <c r="P72" s="4">
        <v>30000</v>
      </c>
      <c r="Q72" s="4">
        <v>0</v>
      </c>
      <c r="R72" s="4">
        <v>30000</v>
      </c>
      <c r="S72" s="4">
        <v>23333</v>
      </c>
    </row>
    <row r="73" spans="1:19" x14ac:dyDescent="0.25">
      <c r="A73" s="12" t="str">
        <f>"07110004500"</f>
        <v>07110004500</v>
      </c>
      <c r="B73" s="5" t="s">
        <v>19</v>
      </c>
      <c r="C73" s="5" t="s">
        <v>20</v>
      </c>
      <c r="D73" s="4" t="s">
        <v>527</v>
      </c>
      <c r="E73" s="6">
        <v>37207</v>
      </c>
      <c r="F73" s="4" t="s">
        <v>22</v>
      </c>
      <c r="G73" s="7">
        <v>41262</v>
      </c>
      <c r="H73" s="4" t="s">
        <v>528</v>
      </c>
      <c r="I73" s="4">
        <v>90416</v>
      </c>
      <c r="J73" s="4" t="s">
        <v>529</v>
      </c>
      <c r="K73" s="4">
        <v>1.43</v>
      </c>
      <c r="L73" s="4" t="s">
        <v>530</v>
      </c>
      <c r="M73" s="7">
        <v>25479</v>
      </c>
      <c r="N73" s="6">
        <v>2</v>
      </c>
      <c r="O73" s="4" t="s">
        <v>531</v>
      </c>
      <c r="P73" s="4">
        <v>553000</v>
      </c>
      <c r="Q73" s="4">
        <v>0</v>
      </c>
      <c r="R73" s="4">
        <v>553000</v>
      </c>
      <c r="S73" s="4">
        <v>59358</v>
      </c>
    </row>
    <row r="74" spans="1:19" x14ac:dyDescent="0.25">
      <c r="A74" s="12" t="str">
        <f>"06016012000"</f>
        <v>06016012000</v>
      </c>
      <c r="B74" s="4" t="s">
        <v>19</v>
      </c>
      <c r="C74" s="5" t="s">
        <v>540</v>
      </c>
      <c r="D74" s="4" t="s">
        <v>553</v>
      </c>
      <c r="E74" s="6">
        <v>37207</v>
      </c>
      <c r="F74" s="4" t="s">
        <v>22</v>
      </c>
      <c r="G74" s="7">
        <v>29050</v>
      </c>
      <c r="H74" s="4" t="s">
        <v>554</v>
      </c>
      <c r="I74" s="4">
        <v>135</v>
      </c>
      <c r="J74" s="4" t="s">
        <v>555</v>
      </c>
      <c r="K74" s="4">
        <v>0.01</v>
      </c>
      <c r="L74" s="4" t="s">
        <v>454</v>
      </c>
      <c r="M74" s="7">
        <v>35797</v>
      </c>
      <c r="N74" s="6">
        <v>8</v>
      </c>
      <c r="O74" s="4" t="s">
        <v>26</v>
      </c>
      <c r="P74" s="4">
        <v>100</v>
      </c>
      <c r="Q74" s="4">
        <v>0</v>
      </c>
      <c r="R74" s="4">
        <v>100</v>
      </c>
      <c r="S74" s="4">
        <v>369</v>
      </c>
    </row>
    <row r="75" spans="1:19" x14ac:dyDescent="0.25">
      <c r="A75" s="12" t="str">
        <f>"06014009600"</f>
        <v>06014009600</v>
      </c>
      <c r="B75" s="4" t="s">
        <v>19</v>
      </c>
      <c r="C75" s="5" t="s">
        <v>540</v>
      </c>
      <c r="D75" s="4" t="s">
        <v>556</v>
      </c>
      <c r="E75" s="6">
        <v>37207</v>
      </c>
      <c r="F75" s="4" t="s">
        <v>22</v>
      </c>
      <c r="G75" s="7">
        <v>42139</v>
      </c>
      <c r="H75" s="4" t="s">
        <v>557</v>
      </c>
      <c r="I75" s="4">
        <v>553</v>
      </c>
      <c r="J75" s="4" t="s">
        <v>558</v>
      </c>
      <c r="K75" s="4">
        <v>0.01</v>
      </c>
      <c r="L75" s="4" t="s">
        <v>559</v>
      </c>
      <c r="M75" s="7">
        <v>35228</v>
      </c>
      <c r="N75" s="6">
        <v>2</v>
      </c>
      <c r="O75" s="4" t="s">
        <v>26</v>
      </c>
      <c r="P75" s="4">
        <v>7500</v>
      </c>
      <c r="Q75" s="4">
        <v>0</v>
      </c>
      <c r="R75" s="4">
        <v>7500</v>
      </c>
      <c r="S75" s="4">
        <v>2552</v>
      </c>
    </row>
    <row r="76" spans="1:19" x14ac:dyDescent="0.25">
      <c r="A76" s="12" t="str">
        <f>"07116040200"</f>
        <v>07116040200</v>
      </c>
      <c r="B76" s="4" t="s">
        <v>19</v>
      </c>
      <c r="C76" s="5" t="s">
        <v>540</v>
      </c>
      <c r="D76" s="4" t="s">
        <v>560</v>
      </c>
      <c r="E76" s="6">
        <v>37207</v>
      </c>
      <c r="F76" s="4" t="s">
        <v>22</v>
      </c>
      <c r="G76" s="7">
        <v>28068</v>
      </c>
      <c r="H76" s="4" t="s">
        <v>561</v>
      </c>
      <c r="I76" s="4">
        <v>212</v>
      </c>
      <c r="J76" s="4" t="s">
        <v>562</v>
      </c>
      <c r="K76" s="4">
        <v>0.01</v>
      </c>
      <c r="L76" s="4" t="s">
        <v>563</v>
      </c>
      <c r="M76" s="7">
        <v>22185</v>
      </c>
      <c r="N76" s="6">
        <v>5</v>
      </c>
      <c r="O76" s="4" t="s">
        <v>26</v>
      </c>
      <c r="P76" s="4">
        <v>100</v>
      </c>
      <c r="Q76" s="4">
        <v>0</v>
      </c>
      <c r="R76" s="4">
        <v>100</v>
      </c>
      <c r="S76" s="4">
        <v>539</v>
      </c>
    </row>
    <row r="77" spans="1:19" x14ac:dyDescent="0.25">
      <c r="A77" s="12" t="str">
        <f>"07213043800"</f>
        <v>07213043800</v>
      </c>
      <c r="B77" s="4" t="s">
        <v>19</v>
      </c>
      <c r="C77" s="5" t="s">
        <v>540</v>
      </c>
      <c r="D77" s="4" t="s">
        <v>77</v>
      </c>
      <c r="E77" s="6">
        <v>37207</v>
      </c>
      <c r="F77" s="4" t="s">
        <v>22</v>
      </c>
      <c r="G77" s="7">
        <v>28446</v>
      </c>
      <c r="H77" s="4" t="s">
        <v>564</v>
      </c>
      <c r="I77" s="4">
        <v>197</v>
      </c>
      <c r="J77" s="4" t="s">
        <v>565</v>
      </c>
      <c r="K77" s="4">
        <v>0.01</v>
      </c>
      <c r="L77" s="4" t="s">
        <v>566</v>
      </c>
      <c r="M77" s="7">
        <v>18116</v>
      </c>
      <c r="N77" s="6">
        <v>5</v>
      </c>
      <c r="O77" s="4" t="s">
        <v>26</v>
      </c>
      <c r="P77" s="4">
        <v>200</v>
      </c>
      <c r="Q77" s="4">
        <v>0</v>
      </c>
      <c r="R77" s="4">
        <v>200</v>
      </c>
      <c r="S77" s="4">
        <v>368</v>
      </c>
    </row>
    <row r="78" spans="1:19" x14ac:dyDescent="0.25">
      <c r="A78" s="12" t="str">
        <f>"05916021500"</f>
        <v>05916021500</v>
      </c>
      <c r="B78" s="9" t="s">
        <v>681</v>
      </c>
      <c r="C78" s="9" t="s">
        <v>591</v>
      </c>
      <c r="D78" s="4" t="s">
        <v>320</v>
      </c>
      <c r="E78" s="6">
        <v>37207</v>
      </c>
      <c r="F78" s="4" t="s">
        <v>22</v>
      </c>
      <c r="G78" s="7">
        <v>29300</v>
      </c>
      <c r="H78" s="4" t="s">
        <v>596</v>
      </c>
      <c r="I78" s="4" t="s">
        <v>50</v>
      </c>
      <c r="J78" s="4" t="s">
        <v>597</v>
      </c>
      <c r="K78" s="4">
        <v>0.03</v>
      </c>
      <c r="L78" s="4" t="s">
        <v>482</v>
      </c>
      <c r="M78" s="7">
        <v>25976</v>
      </c>
      <c r="N78" s="6">
        <v>2</v>
      </c>
      <c r="O78" s="4" t="s">
        <v>26</v>
      </c>
      <c r="P78" s="4">
        <v>300</v>
      </c>
      <c r="Q78" s="4">
        <v>0</v>
      </c>
      <c r="R78" s="4">
        <v>300</v>
      </c>
      <c r="S78" s="4">
        <v>796</v>
      </c>
    </row>
    <row r="79" spans="1:19" x14ac:dyDescent="0.25">
      <c r="A79" s="12" t="str">
        <f>"07008005200"</f>
        <v>07008005200</v>
      </c>
      <c r="B79" s="9" t="s">
        <v>683</v>
      </c>
      <c r="C79" s="9" t="s">
        <v>591</v>
      </c>
      <c r="D79" s="4" t="s">
        <v>333</v>
      </c>
      <c r="E79" s="6">
        <v>37207</v>
      </c>
      <c r="F79" s="4" t="s">
        <v>22</v>
      </c>
      <c r="G79" s="7">
        <v>35389</v>
      </c>
      <c r="H79" s="4" t="s">
        <v>598</v>
      </c>
      <c r="I79" s="4">
        <v>438</v>
      </c>
      <c r="J79" s="4" t="s">
        <v>599</v>
      </c>
      <c r="K79" s="4">
        <v>0.06</v>
      </c>
      <c r="L79" s="4" t="s">
        <v>600</v>
      </c>
      <c r="M79" s="7">
        <v>26924</v>
      </c>
      <c r="N79" s="6">
        <v>2</v>
      </c>
      <c r="O79" s="4" t="s">
        <v>26</v>
      </c>
      <c r="P79" s="4">
        <v>7500</v>
      </c>
      <c r="Q79" s="4">
        <v>0</v>
      </c>
      <c r="R79" s="4">
        <v>7500</v>
      </c>
      <c r="S79" s="4">
        <v>3221</v>
      </c>
    </row>
    <row r="80" spans="1:19" x14ac:dyDescent="0.25">
      <c r="A80" s="12" t="str">
        <f>"14211016200"</f>
        <v>14211016200</v>
      </c>
      <c r="B80" s="8" t="s">
        <v>19</v>
      </c>
      <c r="C80" s="5" t="s">
        <v>540</v>
      </c>
      <c r="D80" s="4" t="s">
        <v>643</v>
      </c>
      <c r="E80" s="6">
        <v>37207</v>
      </c>
      <c r="F80" s="4" t="s">
        <v>22</v>
      </c>
      <c r="G80" s="7">
        <v>33442</v>
      </c>
      <c r="H80" s="4" t="s">
        <v>644</v>
      </c>
      <c r="I80" s="4">
        <v>235</v>
      </c>
      <c r="J80" s="4" t="s">
        <v>645</v>
      </c>
      <c r="K80" s="4">
        <v>0.01</v>
      </c>
      <c r="L80" s="4" t="s">
        <v>646</v>
      </c>
      <c r="M80" s="7">
        <v>28604</v>
      </c>
      <c r="N80" s="6">
        <v>35</v>
      </c>
      <c r="O80" s="4" t="s">
        <v>26</v>
      </c>
      <c r="P80" s="4">
        <v>700</v>
      </c>
      <c r="Q80" s="4">
        <v>0</v>
      </c>
      <c r="R80" s="4">
        <v>700</v>
      </c>
      <c r="S80" s="4">
        <v>355</v>
      </c>
    </row>
    <row r="81" spans="1:19" x14ac:dyDescent="0.25">
      <c r="A81" s="12" t="str">
        <f>"07213000100"</f>
        <v>07213000100</v>
      </c>
      <c r="B81" s="8" t="s">
        <v>19</v>
      </c>
      <c r="C81" s="5" t="s">
        <v>540</v>
      </c>
      <c r="D81" s="4" t="s">
        <v>674</v>
      </c>
      <c r="E81" s="6">
        <v>37207</v>
      </c>
      <c r="F81" s="4" t="s">
        <v>22</v>
      </c>
      <c r="G81" s="7">
        <v>28068</v>
      </c>
      <c r="H81" s="4" t="s">
        <v>675</v>
      </c>
      <c r="I81" s="4">
        <v>205</v>
      </c>
      <c r="J81" s="4" t="s">
        <v>676</v>
      </c>
      <c r="K81" s="4">
        <v>0.02</v>
      </c>
      <c r="L81" s="4" t="s">
        <v>677</v>
      </c>
      <c r="M81" s="7">
        <v>21289</v>
      </c>
      <c r="N81" s="6">
        <v>5</v>
      </c>
      <c r="O81" s="4" t="s">
        <v>26</v>
      </c>
      <c r="P81" s="4">
        <v>200</v>
      </c>
      <c r="Q81" s="4">
        <v>0</v>
      </c>
      <c r="R81" s="4">
        <v>200</v>
      </c>
      <c r="S81" s="4">
        <v>562</v>
      </c>
    </row>
    <row r="82" spans="1:19" x14ac:dyDescent="0.25">
      <c r="A82" s="12" t="str">
        <f>"08115051400"</f>
        <v>08115051400</v>
      </c>
      <c r="B82" s="5" t="s">
        <v>19</v>
      </c>
      <c r="C82" s="5" t="s">
        <v>20</v>
      </c>
      <c r="D82" s="4" t="s">
        <v>57</v>
      </c>
      <c r="E82" s="6">
        <v>37208</v>
      </c>
      <c r="F82" s="4" t="s">
        <v>22</v>
      </c>
      <c r="G82" s="7">
        <v>30077</v>
      </c>
      <c r="H82" s="4" t="s">
        <v>58</v>
      </c>
      <c r="I82" s="4">
        <v>205</v>
      </c>
      <c r="J82" s="4" t="s">
        <v>59</v>
      </c>
      <c r="K82" s="4">
        <v>0.02</v>
      </c>
      <c r="L82" s="4" t="s">
        <v>60</v>
      </c>
      <c r="M82" s="7">
        <v>26077</v>
      </c>
      <c r="N82" s="6">
        <v>19</v>
      </c>
      <c r="O82" s="4" t="s">
        <v>26</v>
      </c>
      <c r="P82" s="4">
        <v>3000</v>
      </c>
      <c r="Q82" s="4">
        <v>0</v>
      </c>
      <c r="R82" s="4">
        <v>3000</v>
      </c>
      <c r="S82" s="4">
        <v>956</v>
      </c>
    </row>
    <row r="83" spans="1:19" x14ac:dyDescent="0.25">
      <c r="A83" s="12" t="str">
        <f>"09202021800"</f>
        <v>09202021800</v>
      </c>
      <c r="B83" s="5" t="s">
        <v>678</v>
      </c>
      <c r="C83" s="5" t="s">
        <v>20</v>
      </c>
      <c r="D83" s="11" t="s">
        <v>61</v>
      </c>
      <c r="E83" s="6">
        <v>37208</v>
      </c>
      <c r="F83" s="4" t="s">
        <v>22</v>
      </c>
      <c r="G83" s="7">
        <v>28306</v>
      </c>
      <c r="H83" s="4" t="s">
        <v>62</v>
      </c>
      <c r="I83" s="4">
        <v>155</v>
      </c>
      <c r="J83" s="4" t="s">
        <v>63</v>
      </c>
      <c r="K83" s="4">
        <v>0.02</v>
      </c>
      <c r="L83" s="4" t="s">
        <v>64</v>
      </c>
      <c r="M83" s="7">
        <v>23594</v>
      </c>
      <c r="N83" s="6">
        <v>21</v>
      </c>
      <c r="O83" s="4" t="s">
        <v>26</v>
      </c>
      <c r="P83" s="4">
        <v>3100</v>
      </c>
      <c r="Q83" s="4">
        <v>0</v>
      </c>
      <c r="R83" s="4">
        <v>3100</v>
      </c>
      <c r="S83" s="4">
        <v>415</v>
      </c>
    </row>
    <row r="84" spans="1:19" x14ac:dyDescent="0.25">
      <c r="A84" s="12" t="str">
        <f>"09202035400"</f>
        <v>09202035400</v>
      </c>
      <c r="B84" s="5" t="s">
        <v>19</v>
      </c>
      <c r="C84" s="5" t="s">
        <v>20</v>
      </c>
      <c r="D84" s="4" t="s">
        <v>85</v>
      </c>
      <c r="E84" s="6">
        <v>37208</v>
      </c>
      <c r="F84" s="4" t="s">
        <v>22</v>
      </c>
      <c r="G84" s="7">
        <v>29195</v>
      </c>
      <c r="H84" s="4" t="s">
        <v>86</v>
      </c>
      <c r="I84" s="4">
        <v>242</v>
      </c>
      <c r="J84" s="4" t="s">
        <v>87</v>
      </c>
      <c r="K84" s="4">
        <v>0.03</v>
      </c>
      <c r="L84" s="4" t="s">
        <v>88</v>
      </c>
      <c r="M84" s="7">
        <v>23219</v>
      </c>
      <c r="N84" s="6">
        <v>21</v>
      </c>
      <c r="O84" s="4" t="s">
        <v>26</v>
      </c>
      <c r="P84" s="4">
        <v>3100</v>
      </c>
      <c r="Q84" s="4">
        <v>0</v>
      </c>
      <c r="R84" s="4">
        <v>3100</v>
      </c>
      <c r="S84" s="4">
        <v>1374</v>
      </c>
    </row>
    <row r="85" spans="1:19" x14ac:dyDescent="0.25">
      <c r="A85" s="12" t="str">
        <f>"08107024700"</f>
        <v>08107024700</v>
      </c>
      <c r="B85" s="5" t="s">
        <v>19</v>
      </c>
      <c r="C85" s="5" t="s">
        <v>20</v>
      </c>
      <c r="D85" s="4" t="s">
        <v>105</v>
      </c>
      <c r="E85" s="6">
        <v>37208</v>
      </c>
      <c r="F85" s="4" t="s">
        <v>22</v>
      </c>
      <c r="G85" s="7">
        <v>39430</v>
      </c>
      <c r="H85" s="4" t="s">
        <v>106</v>
      </c>
      <c r="I85" s="4">
        <v>4961</v>
      </c>
      <c r="J85" s="4" t="s">
        <v>107</v>
      </c>
      <c r="K85" s="4">
        <v>0.04</v>
      </c>
      <c r="L85" s="4" t="s">
        <v>108</v>
      </c>
      <c r="M85" s="7">
        <v>26239</v>
      </c>
      <c r="N85" s="6">
        <v>21</v>
      </c>
      <c r="O85" s="4" t="s">
        <v>26</v>
      </c>
      <c r="P85" s="4">
        <v>55800</v>
      </c>
      <c r="Q85" s="4">
        <v>0</v>
      </c>
      <c r="R85" s="4">
        <v>55800</v>
      </c>
      <c r="S85" s="4">
        <v>2054</v>
      </c>
    </row>
    <row r="86" spans="1:19" x14ac:dyDescent="0.25">
      <c r="A86" s="12" t="str">
        <f>"08112003700"</f>
        <v>08112003700</v>
      </c>
      <c r="B86" s="5" t="s">
        <v>678</v>
      </c>
      <c r="C86" s="5" t="s">
        <v>20</v>
      </c>
      <c r="D86" s="11" t="s">
        <v>109</v>
      </c>
      <c r="E86" s="6">
        <v>37208</v>
      </c>
      <c r="F86" s="4" t="s">
        <v>22</v>
      </c>
      <c r="G86" s="7">
        <v>28831</v>
      </c>
      <c r="H86" s="4" t="s">
        <v>110</v>
      </c>
      <c r="I86" s="4">
        <v>164</v>
      </c>
      <c r="J86" s="4" t="s">
        <v>111</v>
      </c>
      <c r="K86" s="4">
        <v>0.04</v>
      </c>
      <c r="L86" s="4" t="s">
        <v>112</v>
      </c>
      <c r="M86" s="7">
        <v>14114</v>
      </c>
      <c r="N86" s="6">
        <v>19</v>
      </c>
      <c r="O86" s="4" t="s">
        <v>26</v>
      </c>
      <c r="P86" s="4">
        <v>12500</v>
      </c>
      <c r="Q86" s="4">
        <v>0</v>
      </c>
      <c r="R86" s="4">
        <v>12500</v>
      </c>
      <c r="S86" s="4">
        <v>1806</v>
      </c>
    </row>
    <row r="87" spans="1:19" x14ac:dyDescent="0.25">
      <c r="A87" s="12" t="str">
        <f>"08111027000"</f>
        <v>08111027000</v>
      </c>
      <c r="B87" s="5" t="s">
        <v>19</v>
      </c>
      <c r="C87" s="5" t="s">
        <v>20</v>
      </c>
      <c r="D87" s="4" t="s">
        <v>113</v>
      </c>
      <c r="E87" s="6">
        <v>37208</v>
      </c>
      <c r="F87" s="4" t="s">
        <v>22</v>
      </c>
      <c r="G87" s="7">
        <v>34710</v>
      </c>
      <c r="H87" s="4" t="s">
        <v>114</v>
      </c>
      <c r="I87" s="4">
        <v>382</v>
      </c>
      <c r="J87" s="4" t="s">
        <v>115</v>
      </c>
      <c r="K87" s="4">
        <v>0.04</v>
      </c>
      <c r="L87" s="4" t="s">
        <v>116</v>
      </c>
      <c r="M87" s="7">
        <v>25583</v>
      </c>
      <c r="N87" s="6">
        <v>21</v>
      </c>
      <c r="O87" s="4" t="s">
        <v>26</v>
      </c>
      <c r="P87" s="4">
        <v>55800</v>
      </c>
      <c r="Q87" s="4">
        <v>0</v>
      </c>
      <c r="R87" s="4">
        <v>55800</v>
      </c>
      <c r="S87" s="4">
        <v>2359</v>
      </c>
    </row>
    <row r="88" spans="1:19" x14ac:dyDescent="0.25">
      <c r="A88" s="12" t="str">
        <f>"08112019100"</f>
        <v>08112019100</v>
      </c>
      <c r="B88" s="5" t="s">
        <v>19</v>
      </c>
      <c r="C88" s="5" t="s">
        <v>20</v>
      </c>
      <c r="D88" s="4" t="s">
        <v>117</v>
      </c>
      <c r="E88" s="6">
        <v>37208</v>
      </c>
      <c r="F88" s="4" t="s">
        <v>22</v>
      </c>
      <c r="G88" s="7">
        <v>35655</v>
      </c>
      <c r="H88" s="4" t="s">
        <v>118</v>
      </c>
      <c r="I88" s="4">
        <v>331</v>
      </c>
      <c r="J88" s="4" t="s">
        <v>119</v>
      </c>
      <c r="K88" s="4">
        <v>0.04</v>
      </c>
      <c r="L88" s="4" t="s">
        <v>120</v>
      </c>
      <c r="M88" s="7">
        <v>24870</v>
      </c>
      <c r="N88" s="6">
        <v>21</v>
      </c>
      <c r="O88" s="4" t="s">
        <v>26</v>
      </c>
      <c r="P88" s="4">
        <v>1500</v>
      </c>
      <c r="Q88" s="4">
        <v>0</v>
      </c>
      <c r="R88" s="4">
        <v>1500</v>
      </c>
      <c r="S88" s="4">
        <v>1991</v>
      </c>
    </row>
    <row r="89" spans="1:19" x14ac:dyDescent="0.25">
      <c r="A89" s="12" t="str">
        <f>"09202025700"</f>
        <v>09202025700</v>
      </c>
      <c r="B89" s="5" t="s">
        <v>678</v>
      </c>
      <c r="C89" s="5" t="s">
        <v>20</v>
      </c>
      <c r="D89" s="11" t="s">
        <v>125</v>
      </c>
      <c r="E89" s="6">
        <v>37208</v>
      </c>
      <c r="F89" s="4" t="s">
        <v>22</v>
      </c>
      <c r="G89" s="7">
        <v>36825</v>
      </c>
      <c r="H89" s="4" t="s">
        <v>126</v>
      </c>
      <c r="I89" s="4">
        <v>0</v>
      </c>
      <c r="J89" s="4" t="s">
        <v>127</v>
      </c>
      <c r="K89" s="4">
        <v>0.04</v>
      </c>
      <c r="L89" s="4" t="s">
        <v>128</v>
      </c>
      <c r="M89" s="7">
        <v>14733</v>
      </c>
      <c r="N89" s="6">
        <v>21</v>
      </c>
      <c r="O89" s="4" t="s">
        <v>26</v>
      </c>
      <c r="P89" s="4">
        <v>3100</v>
      </c>
      <c r="Q89" s="4">
        <v>0</v>
      </c>
      <c r="R89" s="4">
        <v>3100</v>
      </c>
      <c r="S89" s="4">
        <v>1774</v>
      </c>
    </row>
    <row r="90" spans="1:19" x14ac:dyDescent="0.25">
      <c r="A90" s="12" t="str">
        <f>"08108023200"</f>
        <v>08108023200</v>
      </c>
      <c r="B90" s="5" t="s">
        <v>19</v>
      </c>
      <c r="C90" s="5" t="s">
        <v>20</v>
      </c>
      <c r="D90" s="4" t="s">
        <v>182</v>
      </c>
      <c r="E90" s="6">
        <v>37208</v>
      </c>
      <c r="F90" s="4" t="s">
        <v>22</v>
      </c>
      <c r="G90" s="7">
        <v>28460</v>
      </c>
      <c r="H90" s="4" t="s">
        <v>183</v>
      </c>
      <c r="I90" s="4">
        <v>347</v>
      </c>
      <c r="J90" s="4" t="s">
        <v>184</v>
      </c>
      <c r="K90" s="4">
        <v>0.05</v>
      </c>
      <c r="L90" s="4" t="s">
        <v>185</v>
      </c>
      <c r="M90" s="7">
        <v>14697</v>
      </c>
      <c r="N90" s="6">
        <v>19</v>
      </c>
      <c r="O90" s="4" t="s">
        <v>26</v>
      </c>
      <c r="P90" s="4">
        <v>12500</v>
      </c>
      <c r="Q90" s="4">
        <v>0</v>
      </c>
      <c r="R90" s="4">
        <v>12500</v>
      </c>
      <c r="S90" s="4">
        <v>547</v>
      </c>
    </row>
    <row r="91" spans="1:19" x14ac:dyDescent="0.25">
      <c r="A91" s="12" t="str">
        <f>"08115039800"</f>
        <v>08115039800</v>
      </c>
      <c r="B91" s="5" t="s">
        <v>19</v>
      </c>
      <c r="C91" s="5" t="s">
        <v>20</v>
      </c>
      <c r="D91" s="4" t="s">
        <v>186</v>
      </c>
      <c r="E91" s="6">
        <v>37208</v>
      </c>
      <c r="F91" s="4" t="s">
        <v>22</v>
      </c>
      <c r="G91" s="7">
        <v>28110</v>
      </c>
      <c r="H91" s="4" t="s">
        <v>187</v>
      </c>
      <c r="I91" s="4">
        <v>368</v>
      </c>
      <c r="J91" s="4" t="s">
        <v>188</v>
      </c>
      <c r="K91" s="4">
        <v>0.05</v>
      </c>
      <c r="L91" s="4" t="s">
        <v>189</v>
      </c>
      <c r="M91" s="7">
        <v>13995</v>
      </c>
      <c r="N91" s="6">
        <v>21</v>
      </c>
      <c r="O91" s="4" t="s">
        <v>26</v>
      </c>
      <c r="P91" s="4">
        <v>1500</v>
      </c>
      <c r="Q91" s="4">
        <v>0</v>
      </c>
      <c r="R91" s="4">
        <v>1500</v>
      </c>
      <c r="S91" s="4">
        <v>1606</v>
      </c>
    </row>
    <row r="92" spans="1:19" x14ac:dyDescent="0.25">
      <c r="A92" s="12" t="str">
        <f>"08103034900"</f>
        <v>08103034900</v>
      </c>
      <c r="B92" s="5" t="s">
        <v>19</v>
      </c>
      <c r="C92" s="5" t="s">
        <v>20</v>
      </c>
      <c r="D92" s="4" t="s">
        <v>225</v>
      </c>
      <c r="E92" s="6">
        <v>37208</v>
      </c>
      <c r="F92" s="4" t="s">
        <v>22</v>
      </c>
      <c r="G92" s="7">
        <v>28948</v>
      </c>
      <c r="H92" s="4" t="s">
        <v>226</v>
      </c>
      <c r="I92" s="4">
        <v>143</v>
      </c>
      <c r="J92" s="4" t="s">
        <v>227</v>
      </c>
      <c r="K92" s="4">
        <v>0.06</v>
      </c>
      <c r="L92" s="4" t="s">
        <v>228</v>
      </c>
      <c r="M92" s="7">
        <v>24173</v>
      </c>
      <c r="N92" s="6">
        <v>2</v>
      </c>
      <c r="O92" s="4" t="s">
        <v>26</v>
      </c>
      <c r="P92" s="4">
        <v>55800</v>
      </c>
      <c r="Q92" s="4">
        <v>0</v>
      </c>
      <c r="R92" s="4">
        <v>55800</v>
      </c>
      <c r="S92" s="4">
        <v>1873</v>
      </c>
    </row>
    <row r="93" spans="1:19" x14ac:dyDescent="0.25">
      <c r="A93" s="12" t="str">
        <f>"08204037100"</f>
        <v>08204037100</v>
      </c>
      <c r="B93" s="5" t="s">
        <v>19</v>
      </c>
      <c r="C93" s="5" t="s">
        <v>20</v>
      </c>
      <c r="D93" s="4" t="s">
        <v>245</v>
      </c>
      <c r="E93" s="6">
        <v>37208</v>
      </c>
      <c r="F93" s="4" t="s">
        <v>22</v>
      </c>
      <c r="G93" s="7">
        <v>32926</v>
      </c>
      <c r="H93" s="4" t="s">
        <v>246</v>
      </c>
      <c r="I93" s="4">
        <v>244</v>
      </c>
      <c r="J93" s="4" t="s">
        <v>247</v>
      </c>
      <c r="K93" s="4">
        <v>0.06</v>
      </c>
      <c r="L93" s="4" t="s">
        <v>248</v>
      </c>
      <c r="M93" s="7">
        <v>25658</v>
      </c>
      <c r="N93" s="6">
        <v>5</v>
      </c>
      <c r="O93" s="4" t="s">
        <v>26</v>
      </c>
      <c r="P93" s="4">
        <v>4300</v>
      </c>
      <c r="Q93" s="4">
        <v>0</v>
      </c>
      <c r="R93" s="4">
        <v>4300</v>
      </c>
      <c r="S93" s="4">
        <v>4791</v>
      </c>
    </row>
    <row r="94" spans="1:19" x14ac:dyDescent="0.25">
      <c r="A94" s="12" t="str">
        <f>"08116001900"</f>
        <v>08116001900</v>
      </c>
      <c r="B94" s="5" t="s">
        <v>19</v>
      </c>
      <c r="C94" s="5" t="s">
        <v>20</v>
      </c>
      <c r="D94" s="4" t="s">
        <v>249</v>
      </c>
      <c r="E94" s="6">
        <v>37208</v>
      </c>
      <c r="F94" s="4" t="s">
        <v>22</v>
      </c>
      <c r="G94" s="7">
        <v>30238</v>
      </c>
      <c r="H94" s="4" t="s">
        <v>250</v>
      </c>
      <c r="I94" s="4">
        <v>118</v>
      </c>
      <c r="J94" s="4" t="s">
        <v>251</v>
      </c>
      <c r="K94" s="4">
        <v>0.06</v>
      </c>
      <c r="L94" s="4" t="s">
        <v>252</v>
      </c>
      <c r="M94" s="7">
        <v>26225</v>
      </c>
      <c r="N94" s="6">
        <v>21</v>
      </c>
      <c r="O94" s="4" t="s">
        <v>26</v>
      </c>
      <c r="P94" s="4">
        <v>1500</v>
      </c>
      <c r="Q94" s="4">
        <v>0</v>
      </c>
      <c r="R94" s="4">
        <v>1500</v>
      </c>
      <c r="S94" s="4">
        <v>2458</v>
      </c>
    </row>
    <row r="95" spans="1:19" x14ac:dyDescent="0.25">
      <c r="A95" s="12" t="str">
        <f>"08116002700"</f>
        <v>08116002700</v>
      </c>
      <c r="B95" s="5" t="s">
        <v>19</v>
      </c>
      <c r="C95" s="5" t="s">
        <v>20</v>
      </c>
      <c r="D95" s="4" t="s">
        <v>269</v>
      </c>
      <c r="E95" s="6">
        <v>37208</v>
      </c>
      <c r="F95" s="4" t="s">
        <v>22</v>
      </c>
      <c r="G95" s="7">
        <v>36809</v>
      </c>
      <c r="H95" s="4" t="s">
        <v>270</v>
      </c>
      <c r="I95" s="4" t="s">
        <v>50</v>
      </c>
      <c r="J95" s="4" t="s">
        <v>271</v>
      </c>
      <c r="K95" s="4">
        <v>7.0000000000000007E-2</v>
      </c>
      <c r="L95" s="4" t="s">
        <v>272</v>
      </c>
      <c r="M95" s="7">
        <v>19060</v>
      </c>
      <c r="N95" s="6">
        <v>21</v>
      </c>
      <c r="O95" s="4" t="s">
        <v>26</v>
      </c>
      <c r="P95" s="4">
        <v>27900</v>
      </c>
      <c r="Q95" s="4">
        <v>0</v>
      </c>
      <c r="R95" s="4">
        <v>27900</v>
      </c>
      <c r="S95" s="4">
        <v>3086</v>
      </c>
    </row>
    <row r="96" spans="1:19" x14ac:dyDescent="0.25">
      <c r="A96" s="12" t="str">
        <f>"09206019500"</f>
        <v>09206019500</v>
      </c>
      <c r="B96" s="5" t="s">
        <v>19</v>
      </c>
      <c r="C96" s="5" t="s">
        <v>20</v>
      </c>
      <c r="D96" s="4" t="s">
        <v>273</v>
      </c>
      <c r="E96" s="6">
        <v>37208</v>
      </c>
      <c r="F96" s="4" t="s">
        <v>22</v>
      </c>
      <c r="G96" s="7">
        <v>32903</v>
      </c>
      <c r="H96" s="4" t="s">
        <v>274</v>
      </c>
      <c r="I96" s="4">
        <v>504</v>
      </c>
      <c r="J96" s="4" t="s">
        <v>275</v>
      </c>
      <c r="K96" s="4">
        <v>7.0000000000000007E-2</v>
      </c>
      <c r="L96" s="4" t="s">
        <v>276</v>
      </c>
      <c r="M96" s="7">
        <v>20519</v>
      </c>
      <c r="N96" s="6">
        <v>21</v>
      </c>
      <c r="O96" s="4" t="s">
        <v>26</v>
      </c>
      <c r="P96" s="4">
        <v>25600</v>
      </c>
      <c r="Q96" s="4">
        <v>0</v>
      </c>
      <c r="R96" s="4">
        <v>25600</v>
      </c>
      <c r="S96" s="4">
        <v>2867</v>
      </c>
    </row>
    <row r="97" spans="1:19" x14ac:dyDescent="0.25">
      <c r="A97" s="12" t="str">
        <f>"08102012100"</f>
        <v>08102012100</v>
      </c>
      <c r="B97" s="5" t="s">
        <v>682</v>
      </c>
      <c r="C97" s="5" t="s">
        <v>20</v>
      </c>
      <c r="D97" s="4" t="s">
        <v>532</v>
      </c>
      <c r="E97" s="6">
        <v>37208</v>
      </c>
      <c r="F97" s="4" t="s">
        <v>22</v>
      </c>
      <c r="G97" s="7">
        <v>41297</v>
      </c>
      <c r="H97" s="4" t="s">
        <v>533</v>
      </c>
      <c r="I97" s="4">
        <v>330382</v>
      </c>
      <c r="J97" s="4" t="s">
        <v>534</v>
      </c>
      <c r="K97" s="4">
        <v>2.88</v>
      </c>
      <c r="L97" s="4" t="s">
        <v>535</v>
      </c>
      <c r="M97" s="7">
        <v>2113</v>
      </c>
      <c r="N97" s="6">
        <v>2</v>
      </c>
      <c r="O97" s="4" t="s">
        <v>39</v>
      </c>
      <c r="P97" s="4">
        <v>449200</v>
      </c>
      <c r="Q97" s="4">
        <v>0</v>
      </c>
      <c r="R97" s="4">
        <v>449200</v>
      </c>
      <c r="S97" s="4">
        <v>121710</v>
      </c>
    </row>
    <row r="98" spans="1:19" x14ac:dyDescent="0.25">
      <c r="A98" s="12" t="str">
        <f>"08112013300"</f>
        <v>08112013300</v>
      </c>
      <c r="B98" s="4" t="s">
        <v>19</v>
      </c>
      <c r="C98" s="5" t="s">
        <v>540</v>
      </c>
      <c r="D98" s="4" t="s">
        <v>545</v>
      </c>
      <c r="E98" s="6">
        <v>37208</v>
      </c>
      <c r="F98" s="4" t="s">
        <v>22</v>
      </c>
      <c r="G98" s="7">
        <v>28110</v>
      </c>
      <c r="H98" s="4" t="s">
        <v>546</v>
      </c>
      <c r="I98" s="4">
        <v>305</v>
      </c>
      <c r="J98" s="4" t="s">
        <v>547</v>
      </c>
      <c r="K98" s="4">
        <v>0.01</v>
      </c>
      <c r="L98" s="4" t="s">
        <v>548</v>
      </c>
      <c r="M98" s="7">
        <v>22836</v>
      </c>
      <c r="N98" s="6">
        <v>19</v>
      </c>
      <c r="O98" s="4" t="s">
        <v>26</v>
      </c>
      <c r="P98" s="4">
        <v>12500</v>
      </c>
      <c r="Q98" s="4">
        <v>0</v>
      </c>
      <c r="R98" s="4">
        <v>12500</v>
      </c>
      <c r="S98" s="4">
        <v>605</v>
      </c>
    </row>
    <row r="99" spans="1:19" x14ac:dyDescent="0.25">
      <c r="A99" s="12" t="str">
        <f>"08112004200"</f>
        <v>08112004200</v>
      </c>
      <c r="B99" s="4" t="s">
        <v>19</v>
      </c>
      <c r="C99" s="5" t="s">
        <v>540</v>
      </c>
      <c r="D99" s="4" t="s">
        <v>571</v>
      </c>
      <c r="E99" s="6">
        <v>37208</v>
      </c>
      <c r="F99" s="4" t="s">
        <v>22</v>
      </c>
      <c r="G99" s="7">
        <v>35977</v>
      </c>
      <c r="H99" s="4" t="s">
        <v>572</v>
      </c>
      <c r="I99" s="4">
        <v>325</v>
      </c>
      <c r="J99" s="4" t="s">
        <v>573</v>
      </c>
      <c r="K99" s="4">
        <v>0.01</v>
      </c>
      <c r="L99" s="4" t="s">
        <v>574</v>
      </c>
      <c r="M99" s="7">
        <v>15336</v>
      </c>
      <c r="N99" s="6">
        <v>21</v>
      </c>
      <c r="O99" s="4" t="s">
        <v>26</v>
      </c>
      <c r="P99" s="4">
        <v>200</v>
      </c>
      <c r="Q99" s="4">
        <v>0</v>
      </c>
      <c r="R99" s="4">
        <v>200</v>
      </c>
      <c r="S99" s="4">
        <v>249</v>
      </c>
    </row>
    <row r="100" spans="1:19" x14ac:dyDescent="0.25">
      <c r="A100" s="12" t="str">
        <f>"08112004100"</f>
        <v>08112004100</v>
      </c>
      <c r="B100" s="4" t="s">
        <v>19</v>
      </c>
      <c r="C100" s="5" t="s">
        <v>540</v>
      </c>
      <c r="D100" s="4" t="s">
        <v>575</v>
      </c>
      <c r="E100" s="6">
        <v>37208</v>
      </c>
      <c r="F100" s="4" t="s">
        <v>22</v>
      </c>
      <c r="G100" s="7">
        <v>28383</v>
      </c>
      <c r="H100" s="4" t="s">
        <v>576</v>
      </c>
      <c r="I100" s="4">
        <v>190</v>
      </c>
      <c r="J100" s="4" t="s">
        <v>577</v>
      </c>
      <c r="K100" s="4">
        <v>0.01</v>
      </c>
      <c r="L100" s="4" t="s">
        <v>578</v>
      </c>
      <c r="M100" s="7">
        <v>21119</v>
      </c>
      <c r="N100" s="6">
        <v>21</v>
      </c>
      <c r="O100" s="4" t="s">
        <v>26</v>
      </c>
      <c r="P100" s="4">
        <v>200</v>
      </c>
      <c r="Q100" s="4">
        <v>0</v>
      </c>
      <c r="R100" s="4">
        <v>200</v>
      </c>
      <c r="S100" s="4">
        <v>1110</v>
      </c>
    </row>
    <row r="101" spans="1:19" x14ac:dyDescent="0.25">
      <c r="A101" s="12" t="str">
        <f>"08112004000"</f>
        <v>08112004000</v>
      </c>
      <c r="B101" s="4" t="s">
        <v>19</v>
      </c>
      <c r="C101" s="5" t="s">
        <v>540</v>
      </c>
      <c r="D101" s="4" t="s">
        <v>579</v>
      </c>
      <c r="E101" s="6">
        <v>37208</v>
      </c>
      <c r="F101" s="4" t="s">
        <v>22</v>
      </c>
      <c r="G101" s="7">
        <v>28236</v>
      </c>
      <c r="H101" s="4" t="s">
        <v>580</v>
      </c>
      <c r="I101" s="4">
        <v>205</v>
      </c>
      <c r="J101" s="4" t="s">
        <v>581</v>
      </c>
      <c r="K101" s="4">
        <v>0.01</v>
      </c>
      <c r="L101" s="4" t="s">
        <v>582</v>
      </c>
      <c r="M101" s="7">
        <v>21059</v>
      </c>
      <c r="N101" s="6">
        <v>21</v>
      </c>
      <c r="O101" s="4" t="s">
        <v>26</v>
      </c>
      <c r="P101" s="4">
        <v>200</v>
      </c>
      <c r="Q101" s="4">
        <v>0</v>
      </c>
      <c r="R101" s="4">
        <v>200</v>
      </c>
      <c r="S101" s="4">
        <v>180</v>
      </c>
    </row>
    <row r="102" spans="1:19" x14ac:dyDescent="0.25">
      <c r="A102" s="12" t="str">
        <f>"08111027100"</f>
        <v>08111027100</v>
      </c>
      <c r="B102" s="4" t="s">
        <v>19</v>
      </c>
      <c r="C102" s="5" t="s">
        <v>540</v>
      </c>
      <c r="D102" s="4" t="s">
        <v>583</v>
      </c>
      <c r="E102" s="6">
        <v>37208</v>
      </c>
      <c r="F102" s="4" t="s">
        <v>22</v>
      </c>
      <c r="G102" s="7">
        <v>26885</v>
      </c>
      <c r="H102" s="4" t="s">
        <v>584</v>
      </c>
      <c r="I102" s="4">
        <v>165</v>
      </c>
      <c r="J102" s="4" t="s">
        <v>585</v>
      </c>
      <c r="K102" s="4">
        <v>0.01</v>
      </c>
      <c r="L102" s="4" t="s">
        <v>586</v>
      </c>
      <c r="M102" s="7">
        <v>19998</v>
      </c>
      <c r="N102" s="6">
        <v>21</v>
      </c>
      <c r="O102" s="4" t="s">
        <v>26</v>
      </c>
      <c r="P102" s="4">
        <v>200</v>
      </c>
      <c r="Q102" s="4">
        <v>0</v>
      </c>
      <c r="R102" s="4">
        <v>200</v>
      </c>
      <c r="S102" s="4">
        <v>755</v>
      </c>
    </row>
    <row r="103" spans="1:19" x14ac:dyDescent="0.25">
      <c r="A103" s="12" t="str">
        <f>"08111054300"</f>
        <v>08111054300</v>
      </c>
      <c r="B103" s="9" t="s">
        <v>681</v>
      </c>
      <c r="C103" s="9" t="s">
        <v>591</v>
      </c>
      <c r="D103" s="10" t="s">
        <v>601</v>
      </c>
      <c r="E103" s="6">
        <v>37208</v>
      </c>
      <c r="F103" s="4" t="s">
        <v>22</v>
      </c>
      <c r="G103" s="7">
        <v>41171</v>
      </c>
      <c r="H103" s="4" t="s">
        <v>602</v>
      </c>
      <c r="I103" s="4">
        <v>1587</v>
      </c>
      <c r="J103" s="4" t="s">
        <v>603</v>
      </c>
      <c r="K103" s="4">
        <v>0.09</v>
      </c>
      <c r="L103" s="4" t="s">
        <v>604</v>
      </c>
      <c r="M103" s="7">
        <v>18615</v>
      </c>
      <c r="N103" s="6">
        <v>21</v>
      </c>
      <c r="O103" s="4" t="s">
        <v>26</v>
      </c>
      <c r="P103" s="4">
        <v>50200</v>
      </c>
      <c r="Q103" s="4">
        <v>0</v>
      </c>
      <c r="R103" s="4">
        <v>50200</v>
      </c>
      <c r="S103" s="4">
        <v>3832</v>
      </c>
    </row>
    <row r="104" spans="1:19" x14ac:dyDescent="0.25">
      <c r="A104" s="12" t="str">
        <f>"09206005700"</f>
        <v>09206005700</v>
      </c>
      <c r="B104" s="9" t="s">
        <v>681</v>
      </c>
      <c r="C104" s="9" t="s">
        <v>591</v>
      </c>
      <c r="D104" s="10" t="s">
        <v>605</v>
      </c>
      <c r="E104" s="6">
        <v>37208</v>
      </c>
      <c r="F104" s="4" t="s">
        <v>22</v>
      </c>
      <c r="G104" s="7">
        <v>28670</v>
      </c>
      <c r="H104" s="4" t="s">
        <v>606</v>
      </c>
      <c r="I104" s="4">
        <v>321</v>
      </c>
      <c r="J104" s="4" t="s">
        <v>607</v>
      </c>
      <c r="K104" s="4">
        <v>0.09</v>
      </c>
      <c r="L104" s="4" t="s">
        <v>608</v>
      </c>
      <c r="M104" s="7">
        <v>30425</v>
      </c>
      <c r="N104" s="6">
        <v>21</v>
      </c>
      <c r="O104" s="4" t="s">
        <v>26</v>
      </c>
      <c r="P104" s="4">
        <v>31300</v>
      </c>
      <c r="Q104" s="4">
        <v>0</v>
      </c>
      <c r="R104" s="4">
        <v>31300</v>
      </c>
      <c r="S104" s="4">
        <v>5015</v>
      </c>
    </row>
    <row r="105" spans="1:19" x14ac:dyDescent="0.25">
      <c r="A105" s="12" t="str">
        <f>"09206012200"</f>
        <v>09206012200</v>
      </c>
      <c r="B105" s="8" t="s">
        <v>19</v>
      </c>
      <c r="C105" s="5" t="s">
        <v>540</v>
      </c>
      <c r="D105" s="4" t="s">
        <v>639</v>
      </c>
      <c r="E105" s="6">
        <v>37208</v>
      </c>
      <c r="F105" s="4" t="s">
        <v>22</v>
      </c>
      <c r="G105" s="7">
        <v>28145</v>
      </c>
      <c r="H105" s="4" t="s">
        <v>640</v>
      </c>
      <c r="I105" s="4">
        <v>308</v>
      </c>
      <c r="J105" s="4" t="s">
        <v>641</v>
      </c>
      <c r="K105" s="4">
        <v>0.01</v>
      </c>
      <c r="L105" s="4" t="s">
        <v>642</v>
      </c>
      <c r="M105" s="7">
        <v>22678</v>
      </c>
      <c r="N105" s="6">
        <v>21</v>
      </c>
      <c r="O105" s="4" t="s">
        <v>26</v>
      </c>
      <c r="P105" s="4">
        <v>15600</v>
      </c>
      <c r="Q105" s="4">
        <v>0</v>
      </c>
      <c r="R105" s="4">
        <v>15600</v>
      </c>
      <c r="S105" s="4">
        <v>808</v>
      </c>
    </row>
    <row r="106" spans="1:19" x14ac:dyDescent="0.25">
      <c r="A106" s="12" t="str">
        <f>"08115051500"</f>
        <v>08115051500</v>
      </c>
      <c r="B106" s="8" t="s">
        <v>19</v>
      </c>
      <c r="C106" s="5" t="s">
        <v>540</v>
      </c>
      <c r="D106" s="4" t="s">
        <v>647</v>
      </c>
      <c r="E106" s="6">
        <v>37208</v>
      </c>
      <c r="F106" s="4" t="s">
        <v>22</v>
      </c>
      <c r="G106" s="7">
        <v>28110</v>
      </c>
      <c r="H106" s="4" t="s">
        <v>648</v>
      </c>
      <c r="I106" s="4">
        <v>205</v>
      </c>
      <c r="J106" s="4" t="s">
        <v>649</v>
      </c>
      <c r="K106" s="4">
        <v>0.01</v>
      </c>
      <c r="L106" s="4" t="s">
        <v>650</v>
      </c>
      <c r="M106" s="7">
        <v>16825</v>
      </c>
      <c r="N106" s="6">
        <v>19</v>
      </c>
      <c r="O106" s="4" t="s">
        <v>26</v>
      </c>
      <c r="P106" s="4">
        <v>3000</v>
      </c>
      <c r="Q106" s="4">
        <v>0</v>
      </c>
      <c r="R106" s="4">
        <v>3000</v>
      </c>
      <c r="S106" s="4">
        <v>308</v>
      </c>
    </row>
    <row r="107" spans="1:19" x14ac:dyDescent="0.25">
      <c r="A107" s="12" t="str">
        <f>"09202024200"</f>
        <v>09202024200</v>
      </c>
      <c r="B107" s="8" t="s">
        <v>19</v>
      </c>
      <c r="C107" s="5" t="s">
        <v>540</v>
      </c>
      <c r="D107" s="4" t="s">
        <v>651</v>
      </c>
      <c r="E107" s="6">
        <v>37208</v>
      </c>
      <c r="F107" s="4" t="s">
        <v>22</v>
      </c>
      <c r="G107" s="7">
        <v>28593</v>
      </c>
      <c r="H107" s="4" t="s">
        <v>652</v>
      </c>
      <c r="I107" s="4">
        <v>306</v>
      </c>
      <c r="J107" s="4" t="s">
        <v>653</v>
      </c>
      <c r="K107" s="4">
        <v>0.02</v>
      </c>
      <c r="L107" s="4" t="s">
        <v>654</v>
      </c>
      <c r="M107" s="7">
        <v>18515</v>
      </c>
      <c r="N107" s="6">
        <v>21</v>
      </c>
      <c r="O107" s="4" t="s">
        <v>26</v>
      </c>
      <c r="P107" s="4">
        <v>3100</v>
      </c>
      <c r="Q107" s="4">
        <v>0</v>
      </c>
      <c r="R107" s="4">
        <v>3100</v>
      </c>
      <c r="S107" s="4">
        <v>863</v>
      </c>
    </row>
    <row r="108" spans="1:19" x14ac:dyDescent="0.25">
      <c r="A108" s="12" t="str">
        <f>"09206031600"</f>
        <v>09206031600</v>
      </c>
      <c r="B108" s="5" t="s">
        <v>19</v>
      </c>
      <c r="C108" s="5" t="s">
        <v>20</v>
      </c>
      <c r="D108" s="4" t="s">
        <v>21</v>
      </c>
      <c r="E108" s="6">
        <v>37209</v>
      </c>
      <c r="F108" s="4" t="s">
        <v>22</v>
      </c>
      <c r="G108" s="7">
        <v>28068</v>
      </c>
      <c r="H108" s="4" t="s">
        <v>23</v>
      </c>
      <c r="I108" s="4">
        <v>212</v>
      </c>
      <c r="J108" s="4" t="s">
        <v>24</v>
      </c>
      <c r="K108" s="4">
        <v>0.02</v>
      </c>
      <c r="L108" s="4" t="s">
        <v>25</v>
      </c>
      <c r="M108" s="7">
        <v>18749</v>
      </c>
      <c r="N108" s="6">
        <v>21</v>
      </c>
      <c r="O108" s="4" t="s">
        <v>26</v>
      </c>
      <c r="P108" s="4">
        <v>3100</v>
      </c>
      <c r="Q108" s="4">
        <v>0</v>
      </c>
      <c r="R108" s="4">
        <v>3100</v>
      </c>
      <c r="S108" s="4">
        <v>1093</v>
      </c>
    </row>
    <row r="109" spans="1:19" x14ac:dyDescent="0.25">
      <c r="A109" s="12" t="str">
        <f>"09206029300"</f>
        <v>09206029300</v>
      </c>
      <c r="B109" s="5" t="s">
        <v>678</v>
      </c>
      <c r="C109" s="5" t="s">
        <v>20</v>
      </c>
      <c r="D109" s="11" t="s">
        <v>27</v>
      </c>
      <c r="E109" s="6">
        <v>37209</v>
      </c>
      <c r="F109" s="4" t="s">
        <v>22</v>
      </c>
      <c r="G109" s="7">
        <v>28145</v>
      </c>
      <c r="H109" s="4" t="s">
        <v>28</v>
      </c>
      <c r="I109" s="4">
        <v>300</v>
      </c>
      <c r="J109" s="4" t="s">
        <v>29</v>
      </c>
      <c r="K109" s="4">
        <v>0.02</v>
      </c>
      <c r="L109" s="4" t="s">
        <v>30</v>
      </c>
      <c r="M109" s="7">
        <v>3789</v>
      </c>
      <c r="N109" s="6">
        <v>21</v>
      </c>
      <c r="O109" s="4" t="s">
        <v>26</v>
      </c>
      <c r="P109" s="4">
        <v>100</v>
      </c>
      <c r="Q109" s="4">
        <v>0</v>
      </c>
      <c r="R109" s="4">
        <v>100</v>
      </c>
      <c r="S109" s="4">
        <v>802</v>
      </c>
    </row>
    <row r="110" spans="1:19" x14ac:dyDescent="0.25">
      <c r="A110" s="12" t="str">
        <f>"09209015800"</f>
        <v>09209015800</v>
      </c>
      <c r="B110" s="5" t="s">
        <v>678</v>
      </c>
      <c r="C110" s="5" t="s">
        <v>20</v>
      </c>
      <c r="D110" s="11" t="s">
        <v>31</v>
      </c>
      <c r="E110" s="6">
        <v>37209</v>
      </c>
      <c r="F110" s="4" t="s">
        <v>22</v>
      </c>
      <c r="G110" s="7">
        <v>28110</v>
      </c>
      <c r="H110" s="4" t="s">
        <v>32</v>
      </c>
      <c r="I110" s="4">
        <v>316</v>
      </c>
      <c r="J110" s="4" t="s">
        <v>33</v>
      </c>
      <c r="K110" s="4">
        <v>0.02</v>
      </c>
      <c r="L110" s="4" t="s">
        <v>34</v>
      </c>
      <c r="M110" s="7">
        <v>23348</v>
      </c>
      <c r="N110" s="6">
        <v>21</v>
      </c>
      <c r="O110" s="4" t="s">
        <v>26</v>
      </c>
      <c r="P110" s="4">
        <v>100</v>
      </c>
      <c r="Q110" s="4">
        <v>0</v>
      </c>
      <c r="R110" s="4">
        <v>100</v>
      </c>
      <c r="S110" s="4">
        <v>785</v>
      </c>
    </row>
    <row r="111" spans="1:19" x14ac:dyDescent="0.25">
      <c r="A111" s="12" t="str">
        <f>"09206040800"</f>
        <v>09206040800</v>
      </c>
      <c r="B111" s="5" t="s">
        <v>19</v>
      </c>
      <c r="C111" s="5" t="s">
        <v>20</v>
      </c>
      <c r="D111" s="4" t="s">
        <v>65</v>
      </c>
      <c r="E111" s="6">
        <v>37209</v>
      </c>
      <c r="F111" s="4" t="s">
        <v>22</v>
      </c>
      <c r="G111" s="7">
        <v>28145</v>
      </c>
      <c r="H111" s="4" t="s">
        <v>66</v>
      </c>
      <c r="I111" s="4">
        <v>304</v>
      </c>
      <c r="J111" s="4" t="s">
        <v>67</v>
      </c>
      <c r="K111" s="4">
        <v>0.03</v>
      </c>
      <c r="L111" s="4" t="s">
        <v>68</v>
      </c>
      <c r="M111" s="7">
        <v>16637</v>
      </c>
      <c r="N111" s="6">
        <v>21</v>
      </c>
      <c r="O111" s="4" t="s">
        <v>26</v>
      </c>
      <c r="P111" s="4">
        <v>100</v>
      </c>
      <c r="Q111" s="4">
        <v>0</v>
      </c>
      <c r="R111" s="4">
        <v>100</v>
      </c>
      <c r="S111" s="4">
        <v>816</v>
      </c>
    </row>
    <row r="112" spans="1:19" x14ac:dyDescent="0.25">
      <c r="A112" s="12" t="str">
        <f>"09206017300"</f>
        <v>09206017300</v>
      </c>
      <c r="B112" s="5" t="s">
        <v>678</v>
      </c>
      <c r="C112" s="5" t="s">
        <v>20</v>
      </c>
      <c r="D112" s="11" t="s">
        <v>129</v>
      </c>
      <c r="E112" s="6">
        <v>37209</v>
      </c>
      <c r="F112" s="4" t="s">
        <v>22</v>
      </c>
      <c r="G112" s="7">
        <v>41198</v>
      </c>
      <c r="H112" s="4" t="s">
        <v>130</v>
      </c>
      <c r="I112" s="4">
        <v>860</v>
      </c>
      <c r="J112" s="4" t="s">
        <v>131</v>
      </c>
      <c r="K112" s="4">
        <v>0.04</v>
      </c>
      <c r="L112" s="4" t="s">
        <v>132</v>
      </c>
      <c r="M112" s="7">
        <v>23015</v>
      </c>
      <c r="N112" s="6">
        <v>21</v>
      </c>
      <c r="O112" s="4" t="s">
        <v>26</v>
      </c>
      <c r="P112" s="4">
        <v>100</v>
      </c>
      <c r="Q112" s="4">
        <v>0</v>
      </c>
      <c r="R112" s="4">
        <v>100</v>
      </c>
      <c r="S112" s="4">
        <v>1444</v>
      </c>
    </row>
    <row r="113" spans="1:19" x14ac:dyDescent="0.25">
      <c r="A113" s="12" t="str">
        <f>"09210043200"</f>
        <v>09210043200</v>
      </c>
      <c r="B113" s="5" t="s">
        <v>19</v>
      </c>
      <c r="C113" s="5" t="s">
        <v>20</v>
      </c>
      <c r="D113" s="4" t="s">
        <v>680</v>
      </c>
      <c r="E113" s="6">
        <v>37209</v>
      </c>
      <c r="F113" s="4" t="s">
        <v>22</v>
      </c>
      <c r="G113" s="7">
        <v>41198</v>
      </c>
      <c r="H113" s="4" t="s">
        <v>190</v>
      </c>
      <c r="I113" s="4">
        <v>769</v>
      </c>
      <c r="J113" s="4" t="s">
        <v>191</v>
      </c>
      <c r="K113" s="4">
        <v>0.05</v>
      </c>
      <c r="L113" s="4" t="s">
        <v>192</v>
      </c>
      <c r="M113" s="7">
        <v>32737</v>
      </c>
      <c r="N113" s="6">
        <v>21</v>
      </c>
      <c r="O113" s="4" t="s">
        <v>26</v>
      </c>
      <c r="P113" s="4">
        <v>32500</v>
      </c>
      <c r="Q113" s="4">
        <v>0</v>
      </c>
      <c r="R113" s="4">
        <v>32500</v>
      </c>
      <c r="S113" s="4">
        <v>2468</v>
      </c>
    </row>
    <row r="114" spans="1:19" x14ac:dyDescent="0.25">
      <c r="A114" s="12" t="str">
        <f>"09206032800"</f>
        <v>09206032800</v>
      </c>
      <c r="B114" s="5" t="s">
        <v>19</v>
      </c>
      <c r="C114" s="5" t="s">
        <v>20</v>
      </c>
      <c r="D114" s="4" t="s">
        <v>412</v>
      </c>
      <c r="E114" s="6">
        <v>37209</v>
      </c>
      <c r="F114" s="4" t="s">
        <v>22</v>
      </c>
      <c r="G114" s="7">
        <v>39617</v>
      </c>
      <c r="H114" s="4" t="s">
        <v>413</v>
      </c>
      <c r="I114" s="4" t="s">
        <v>50</v>
      </c>
      <c r="J114" s="4" t="s">
        <v>414</v>
      </c>
      <c r="K114" s="4">
        <v>0.16</v>
      </c>
      <c r="L114" s="4" t="s">
        <v>415</v>
      </c>
      <c r="M114" s="7">
        <v>20181</v>
      </c>
      <c r="N114" s="6">
        <v>21</v>
      </c>
      <c r="O114" s="4" t="s">
        <v>26</v>
      </c>
      <c r="P114" s="4">
        <v>3100</v>
      </c>
      <c r="Q114" s="4">
        <v>0</v>
      </c>
      <c r="R114" s="4">
        <v>3100</v>
      </c>
      <c r="S114" s="4">
        <v>6427</v>
      </c>
    </row>
    <row r="115" spans="1:19" x14ac:dyDescent="0.25">
      <c r="A115" s="12" t="str">
        <f>"09210016400"</f>
        <v>09210016400</v>
      </c>
      <c r="B115" s="5" t="s">
        <v>19</v>
      </c>
      <c r="C115" s="5" t="s">
        <v>20</v>
      </c>
      <c r="D115" s="4" t="s">
        <v>442</v>
      </c>
      <c r="E115" s="6">
        <v>37209</v>
      </c>
      <c r="F115" s="4" t="s">
        <v>22</v>
      </c>
      <c r="G115" s="7">
        <v>38385</v>
      </c>
      <c r="H115" s="4" t="s">
        <v>443</v>
      </c>
      <c r="I115" s="4">
        <v>1671</v>
      </c>
      <c r="J115" s="4" t="s">
        <v>444</v>
      </c>
      <c r="K115" s="4">
        <v>0.21</v>
      </c>
      <c r="L115" s="4" t="s">
        <v>445</v>
      </c>
      <c r="M115" s="7">
        <v>21541</v>
      </c>
      <c r="N115" s="6">
        <v>21</v>
      </c>
      <c r="O115" s="4" t="s">
        <v>26</v>
      </c>
      <c r="P115" s="4">
        <v>78000</v>
      </c>
      <c r="Q115" s="4">
        <v>0</v>
      </c>
      <c r="R115" s="4">
        <v>78000</v>
      </c>
      <c r="S115" s="4">
        <v>10024</v>
      </c>
    </row>
    <row r="116" spans="1:19" x14ac:dyDescent="0.25">
      <c r="A116" s="12" t="str">
        <f>"09105015300"</f>
        <v>09105015300</v>
      </c>
      <c r="B116" s="5" t="s">
        <v>19</v>
      </c>
      <c r="C116" s="5" t="s">
        <v>20</v>
      </c>
      <c r="D116" s="4" t="s">
        <v>467</v>
      </c>
      <c r="E116" s="6">
        <v>37209</v>
      </c>
      <c r="F116" s="4" t="s">
        <v>22</v>
      </c>
      <c r="G116" s="7">
        <v>40198</v>
      </c>
      <c r="H116" s="4" t="s">
        <v>468</v>
      </c>
      <c r="I116" s="4">
        <v>412</v>
      </c>
      <c r="J116" s="4" t="s">
        <v>469</v>
      </c>
      <c r="K116" s="4">
        <v>0.28999999999999998</v>
      </c>
      <c r="L116" s="4" t="s">
        <v>470</v>
      </c>
      <c r="M116" s="7">
        <v>25168</v>
      </c>
      <c r="N116" s="6">
        <v>20</v>
      </c>
      <c r="O116" s="4" t="s">
        <v>26</v>
      </c>
      <c r="P116" s="4">
        <v>1500</v>
      </c>
      <c r="Q116" s="4">
        <v>0</v>
      </c>
      <c r="R116" s="4">
        <v>1500</v>
      </c>
      <c r="S116" s="4">
        <v>2000</v>
      </c>
    </row>
    <row r="117" spans="1:19" x14ac:dyDescent="0.25">
      <c r="A117" s="12" t="str">
        <f>"09110035900"</f>
        <v>09110035900</v>
      </c>
      <c r="B117" s="5" t="s">
        <v>19</v>
      </c>
      <c r="C117" s="5" t="s">
        <v>20</v>
      </c>
      <c r="D117" s="4" t="s">
        <v>491</v>
      </c>
      <c r="E117" s="6">
        <v>37209</v>
      </c>
      <c r="F117" s="4" t="s">
        <v>22</v>
      </c>
      <c r="G117" s="7">
        <v>42139</v>
      </c>
      <c r="H117" s="4" t="s">
        <v>492</v>
      </c>
      <c r="I117" s="4">
        <v>660</v>
      </c>
      <c r="J117" s="4" t="s">
        <v>493</v>
      </c>
      <c r="K117" s="4">
        <v>0.48</v>
      </c>
      <c r="L117" s="4" t="s">
        <v>494</v>
      </c>
      <c r="M117" s="7">
        <v>26920</v>
      </c>
      <c r="N117" s="6">
        <v>20</v>
      </c>
      <c r="O117" s="4" t="s">
        <v>26</v>
      </c>
      <c r="P117" s="4">
        <v>1500</v>
      </c>
      <c r="Q117" s="4">
        <v>0</v>
      </c>
      <c r="R117" s="4">
        <v>1500</v>
      </c>
      <c r="S117" s="4">
        <v>20231</v>
      </c>
    </row>
    <row r="118" spans="1:19" x14ac:dyDescent="0.25">
      <c r="A118" s="12" t="str">
        <f>"10200003500"</f>
        <v>10200003500</v>
      </c>
      <c r="B118" s="5" t="s">
        <v>19</v>
      </c>
      <c r="C118" s="5" t="s">
        <v>20</v>
      </c>
      <c r="D118" s="4" t="s">
        <v>499</v>
      </c>
      <c r="E118" s="6">
        <v>37209</v>
      </c>
      <c r="F118" s="4" t="s">
        <v>22</v>
      </c>
      <c r="G118" s="7">
        <v>37970</v>
      </c>
      <c r="H118" s="4" t="s">
        <v>500</v>
      </c>
      <c r="I118" s="4">
        <v>0</v>
      </c>
      <c r="J118" s="4" t="s">
        <v>501</v>
      </c>
      <c r="K118" s="4">
        <v>0.5</v>
      </c>
      <c r="L118" s="4" t="s">
        <v>502</v>
      </c>
      <c r="M118" s="7">
        <v>24939</v>
      </c>
      <c r="N118" s="6">
        <v>35</v>
      </c>
      <c r="O118" s="4" t="s">
        <v>104</v>
      </c>
      <c r="P118" s="4">
        <v>4500</v>
      </c>
      <c r="Q118" s="4">
        <v>0</v>
      </c>
      <c r="R118" s="4">
        <v>4500</v>
      </c>
      <c r="S118" s="4">
        <v>21311</v>
      </c>
    </row>
    <row r="119" spans="1:19" x14ac:dyDescent="0.25">
      <c r="A119" s="12" t="str">
        <f>"09104010000"</f>
        <v>09104010000</v>
      </c>
      <c r="B119" s="4" t="s">
        <v>679</v>
      </c>
      <c r="C119" s="5" t="s">
        <v>540</v>
      </c>
      <c r="D119" s="4" t="s">
        <v>587</v>
      </c>
      <c r="E119" s="6">
        <v>37209</v>
      </c>
      <c r="F119" s="4" t="s">
        <v>22</v>
      </c>
      <c r="G119" s="7">
        <v>41234</v>
      </c>
      <c r="H119" s="4" t="s">
        <v>588</v>
      </c>
      <c r="I119" s="4">
        <v>1348</v>
      </c>
      <c r="J119" s="4" t="s">
        <v>589</v>
      </c>
      <c r="K119" s="4">
        <v>0.01</v>
      </c>
      <c r="L119" s="4" t="s">
        <v>590</v>
      </c>
      <c r="M119" s="7">
        <v>34605</v>
      </c>
      <c r="N119" s="6">
        <v>21</v>
      </c>
      <c r="O119" s="4" t="s">
        <v>39</v>
      </c>
      <c r="P119" s="4">
        <v>1700</v>
      </c>
      <c r="Q119" s="4">
        <v>0</v>
      </c>
      <c r="R119" s="4">
        <v>1700</v>
      </c>
      <c r="S119" s="4">
        <v>23</v>
      </c>
    </row>
    <row r="120" spans="1:19" x14ac:dyDescent="0.25">
      <c r="A120" s="12" t="str">
        <f>"091040A00200CO"</f>
        <v>091040A00200CO</v>
      </c>
      <c r="B120" s="9" t="s">
        <v>681</v>
      </c>
      <c r="C120" s="9" t="s">
        <v>591</v>
      </c>
      <c r="D120" s="10" t="s">
        <v>592</v>
      </c>
      <c r="E120" s="6">
        <v>37209</v>
      </c>
      <c r="F120" s="4" t="s">
        <v>22</v>
      </c>
      <c r="G120" s="7">
        <v>40891</v>
      </c>
      <c r="H120" s="4" t="s">
        <v>593</v>
      </c>
      <c r="I120" s="4">
        <v>1008</v>
      </c>
      <c r="J120" s="4" t="s">
        <v>594</v>
      </c>
      <c r="K120" s="4">
        <v>0</v>
      </c>
      <c r="L120" s="4" t="s">
        <v>595</v>
      </c>
      <c r="M120" s="7">
        <v>38944</v>
      </c>
      <c r="N120" s="6">
        <v>21</v>
      </c>
      <c r="O120" s="4" t="s">
        <v>26</v>
      </c>
      <c r="P120" s="4">
        <v>41600</v>
      </c>
      <c r="Q120" s="4">
        <v>0</v>
      </c>
      <c r="R120" s="4">
        <v>41600</v>
      </c>
      <c r="S120" s="4">
        <v>1004</v>
      </c>
    </row>
    <row r="121" spans="1:19" x14ac:dyDescent="0.25">
      <c r="A121" s="12" t="str">
        <f>"09206031100"</f>
        <v>09206031100</v>
      </c>
      <c r="B121" s="9" t="s">
        <v>681</v>
      </c>
      <c r="C121" s="9" t="s">
        <v>591</v>
      </c>
      <c r="D121" s="4" t="s">
        <v>133</v>
      </c>
      <c r="E121" s="6">
        <v>37209</v>
      </c>
      <c r="F121" s="4" t="s">
        <v>22</v>
      </c>
      <c r="G121" s="7">
        <v>28145</v>
      </c>
      <c r="H121" s="4" t="s">
        <v>609</v>
      </c>
      <c r="I121" s="4">
        <v>344</v>
      </c>
      <c r="J121" s="4" t="s">
        <v>610</v>
      </c>
      <c r="K121" s="4">
        <v>0.09</v>
      </c>
      <c r="L121" s="4" t="s">
        <v>611</v>
      </c>
      <c r="M121" s="7">
        <v>11344</v>
      </c>
      <c r="N121" s="6">
        <v>21</v>
      </c>
      <c r="O121" s="4" t="s">
        <v>26</v>
      </c>
      <c r="P121" s="4">
        <v>1500</v>
      </c>
      <c r="Q121" s="4">
        <v>0</v>
      </c>
      <c r="R121" s="4">
        <v>1500</v>
      </c>
      <c r="S121" s="4">
        <v>2060</v>
      </c>
    </row>
    <row r="122" spans="1:19" x14ac:dyDescent="0.25">
      <c r="A122" s="12" t="str">
        <f>"09016028900"</f>
        <v>09016028900</v>
      </c>
      <c r="B122" s="8" t="s">
        <v>19</v>
      </c>
      <c r="C122" s="5" t="s">
        <v>540</v>
      </c>
      <c r="D122" s="4" t="s">
        <v>658</v>
      </c>
      <c r="E122" s="6">
        <v>37209</v>
      </c>
      <c r="F122" s="4" t="s">
        <v>22</v>
      </c>
      <c r="G122" s="7">
        <v>32926</v>
      </c>
      <c r="H122" s="4" t="s">
        <v>659</v>
      </c>
      <c r="I122" s="4">
        <v>487</v>
      </c>
      <c r="J122" s="4" t="s">
        <v>660</v>
      </c>
      <c r="K122" s="4">
        <v>0.02</v>
      </c>
      <c r="L122" s="4" t="s">
        <v>661</v>
      </c>
      <c r="M122" s="7">
        <v>20368</v>
      </c>
      <c r="N122" s="6">
        <v>20</v>
      </c>
      <c r="O122" s="4" t="s">
        <v>26</v>
      </c>
      <c r="P122" s="4">
        <v>100</v>
      </c>
      <c r="Q122" s="4">
        <v>0</v>
      </c>
      <c r="R122" s="4">
        <v>100</v>
      </c>
      <c r="S122" s="4">
        <v>831</v>
      </c>
    </row>
    <row r="123" spans="1:19" x14ac:dyDescent="0.25">
      <c r="A123" s="14">
        <v>9514012400</v>
      </c>
      <c r="B123" s="8" t="s">
        <v>19</v>
      </c>
      <c r="C123" s="5" t="s">
        <v>20</v>
      </c>
      <c r="D123" s="4" t="s">
        <v>684</v>
      </c>
      <c r="E123" s="6">
        <v>37210</v>
      </c>
      <c r="F123" s="4" t="s">
        <v>22</v>
      </c>
      <c r="G123" s="7">
        <v>40198</v>
      </c>
      <c r="H123" s="13" t="s">
        <v>222</v>
      </c>
      <c r="I123" s="4"/>
      <c r="J123" s="4" t="s">
        <v>223</v>
      </c>
      <c r="K123" s="4">
        <v>0.05</v>
      </c>
      <c r="L123" s="4" t="s">
        <v>685</v>
      </c>
      <c r="M123" s="7">
        <v>30706</v>
      </c>
      <c r="N123" s="6">
        <v>15</v>
      </c>
      <c r="O123" s="4" t="s">
        <v>39</v>
      </c>
      <c r="P123" s="4">
        <v>1000</v>
      </c>
      <c r="Q123" s="4">
        <v>0</v>
      </c>
      <c r="R123" s="4">
        <v>1000</v>
      </c>
      <c r="S123" s="4">
        <v>2193</v>
      </c>
    </row>
    <row r="124" spans="1:19" x14ac:dyDescent="0.25">
      <c r="A124" s="12" t="str">
        <f>"10504031000"</f>
        <v>10504031000</v>
      </c>
      <c r="B124" s="5" t="s">
        <v>19</v>
      </c>
      <c r="C124" s="5" t="s">
        <v>20</v>
      </c>
      <c r="D124" s="4" t="s">
        <v>35</v>
      </c>
      <c r="E124" s="6">
        <v>37210</v>
      </c>
      <c r="F124" s="4" t="s">
        <v>22</v>
      </c>
      <c r="G124" s="7">
        <v>41444</v>
      </c>
      <c r="H124" s="4" t="s">
        <v>36</v>
      </c>
      <c r="I124" s="4">
        <v>498</v>
      </c>
      <c r="J124" s="4" t="s">
        <v>37</v>
      </c>
      <c r="K124" s="4">
        <v>0.02</v>
      </c>
      <c r="L124" s="4" t="s">
        <v>38</v>
      </c>
      <c r="M124" s="7">
        <v>28004</v>
      </c>
      <c r="N124" s="6">
        <v>17</v>
      </c>
      <c r="O124" s="4" t="s">
        <v>39</v>
      </c>
      <c r="P124" s="4">
        <v>300</v>
      </c>
      <c r="Q124" s="4">
        <v>0</v>
      </c>
      <c r="R124" s="4">
        <v>300</v>
      </c>
      <c r="S124" s="4">
        <v>2186</v>
      </c>
    </row>
    <row r="125" spans="1:19" x14ac:dyDescent="0.25">
      <c r="A125" s="12" t="str">
        <f>"09316028500"</f>
        <v>09316028500</v>
      </c>
      <c r="B125" s="5" t="s">
        <v>19</v>
      </c>
      <c r="C125" s="5" t="s">
        <v>20</v>
      </c>
      <c r="D125" s="4" t="s">
        <v>134</v>
      </c>
      <c r="E125" s="6">
        <v>37210</v>
      </c>
      <c r="F125" s="4" t="s">
        <v>22</v>
      </c>
      <c r="G125" s="7">
        <v>36508</v>
      </c>
      <c r="H125" s="4" t="s">
        <v>135</v>
      </c>
      <c r="I125" s="4">
        <v>312</v>
      </c>
      <c r="J125" s="4" t="s">
        <v>136</v>
      </c>
      <c r="K125" s="4">
        <v>0.04</v>
      </c>
      <c r="L125" s="4" t="s">
        <v>137</v>
      </c>
      <c r="M125" s="7">
        <v>21894</v>
      </c>
      <c r="N125" s="6">
        <v>19</v>
      </c>
      <c r="O125" s="4" t="s">
        <v>26</v>
      </c>
      <c r="P125" s="4">
        <v>900</v>
      </c>
      <c r="Q125" s="4">
        <v>0</v>
      </c>
      <c r="R125" s="4">
        <v>900</v>
      </c>
      <c r="S125" s="4">
        <v>1601</v>
      </c>
    </row>
    <row r="126" spans="1:19" x14ac:dyDescent="0.25">
      <c r="A126" s="12" t="str">
        <f>"09316012000"</f>
        <v>09316012000</v>
      </c>
      <c r="B126" s="5" t="s">
        <v>19</v>
      </c>
      <c r="C126" s="5" t="s">
        <v>20</v>
      </c>
      <c r="D126" s="4" t="s">
        <v>138</v>
      </c>
      <c r="E126" s="6">
        <v>37210</v>
      </c>
      <c r="F126" s="4" t="s">
        <v>22</v>
      </c>
      <c r="G126" s="7">
        <v>37581</v>
      </c>
      <c r="H126" s="4" t="s">
        <v>139</v>
      </c>
      <c r="I126" s="4">
        <v>8520</v>
      </c>
      <c r="J126" s="4" t="s">
        <v>140</v>
      </c>
      <c r="K126" s="4">
        <v>0.04</v>
      </c>
      <c r="L126" s="4" t="s">
        <v>141</v>
      </c>
      <c r="M126" s="7">
        <v>22602</v>
      </c>
      <c r="N126" s="6">
        <v>19</v>
      </c>
      <c r="O126" s="4" t="s">
        <v>26</v>
      </c>
      <c r="P126" s="4">
        <v>900</v>
      </c>
      <c r="Q126" s="4">
        <v>0</v>
      </c>
      <c r="R126" s="4">
        <v>900</v>
      </c>
      <c r="S126" s="4">
        <v>2189</v>
      </c>
    </row>
    <row r="127" spans="1:19" x14ac:dyDescent="0.25">
      <c r="A127" s="12" t="str">
        <f>"09316043200"</f>
        <v>09316043200</v>
      </c>
      <c r="B127" s="5" t="s">
        <v>678</v>
      </c>
      <c r="C127" s="5" t="s">
        <v>20</v>
      </c>
      <c r="D127" s="11" t="s">
        <v>143</v>
      </c>
      <c r="E127" s="6">
        <v>37210</v>
      </c>
      <c r="F127" s="4" t="s">
        <v>22</v>
      </c>
      <c r="G127" s="7">
        <v>41297</v>
      </c>
      <c r="H127" s="4" t="s">
        <v>144</v>
      </c>
      <c r="I127" s="4">
        <v>470</v>
      </c>
      <c r="J127" s="4" t="s">
        <v>142</v>
      </c>
      <c r="K127" s="4">
        <v>0.04</v>
      </c>
      <c r="L127" s="4" t="s">
        <v>145</v>
      </c>
      <c r="M127" s="7">
        <v>26613</v>
      </c>
      <c r="N127" s="6">
        <v>19</v>
      </c>
      <c r="O127" s="4" t="s">
        <v>26</v>
      </c>
      <c r="P127" s="4">
        <v>29800</v>
      </c>
      <c r="Q127" s="4">
        <v>0</v>
      </c>
      <c r="R127" s="4">
        <v>29800</v>
      </c>
      <c r="S127" s="4">
        <v>1762</v>
      </c>
    </row>
    <row r="128" spans="1:19" x14ac:dyDescent="0.25">
      <c r="A128" s="12" t="str">
        <f>"09315037000"</f>
        <v>09315037000</v>
      </c>
      <c r="B128" s="5" t="s">
        <v>19</v>
      </c>
      <c r="C128" s="5" t="s">
        <v>20</v>
      </c>
      <c r="D128" s="4" t="s">
        <v>150</v>
      </c>
      <c r="E128" s="6">
        <v>37210</v>
      </c>
      <c r="F128" s="4" t="s">
        <v>22</v>
      </c>
      <c r="G128" s="7">
        <v>33127</v>
      </c>
      <c r="H128" s="4" t="s">
        <v>151</v>
      </c>
      <c r="I128" s="4">
        <v>984</v>
      </c>
      <c r="J128" s="4" t="s">
        <v>152</v>
      </c>
      <c r="K128" s="4">
        <v>0.04</v>
      </c>
      <c r="L128" s="4" t="s">
        <v>153</v>
      </c>
      <c r="M128" s="7">
        <v>34191</v>
      </c>
      <c r="N128" s="6">
        <v>17</v>
      </c>
      <c r="O128" s="4" t="s">
        <v>39</v>
      </c>
      <c r="P128" s="4">
        <v>7000</v>
      </c>
      <c r="Q128" s="4">
        <v>0</v>
      </c>
      <c r="R128" s="4">
        <v>7000</v>
      </c>
      <c r="S128" s="4">
        <v>1799</v>
      </c>
    </row>
    <row r="129" spans="1:19" x14ac:dyDescent="0.25">
      <c r="A129" s="12" t="str">
        <f>"10504031200"</f>
        <v>10504031200</v>
      </c>
      <c r="B129" s="5" t="s">
        <v>19</v>
      </c>
      <c r="C129" s="5" t="s">
        <v>20</v>
      </c>
      <c r="D129" s="4" t="s">
        <v>193</v>
      </c>
      <c r="E129" s="6">
        <v>37210</v>
      </c>
      <c r="F129" s="4" t="s">
        <v>22</v>
      </c>
      <c r="G129" s="7">
        <v>41444</v>
      </c>
      <c r="H129" s="4" t="s">
        <v>194</v>
      </c>
      <c r="I129" s="4">
        <v>498</v>
      </c>
      <c r="J129" s="4" t="s">
        <v>37</v>
      </c>
      <c r="K129" s="4">
        <v>0.05</v>
      </c>
      <c r="L129" s="4" t="s">
        <v>195</v>
      </c>
      <c r="M129" s="7">
        <v>230</v>
      </c>
      <c r="N129" s="6">
        <v>17</v>
      </c>
      <c r="O129" s="4" t="s">
        <v>196</v>
      </c>
      <c r="P129" s="4">
        <v>300</v>
      </c>
      <c r="Q129" s="4">
        <v>0</v>
      </c>
      <c r="R129" s="4">
        <v>300</v>
      </c>
      <c r="S129" s="4">
        <v>2346</v>
      </c>
    </row>
    <row r="130" spans="1:19" x14ac:dyDescent="0.25">
      <c r="A130" s="12" t="str">
        <f>"10504031300"</f>
        <v>10504031300</v>
      </c>
      <c r="B130" s="5" t="s">
        <v>19</v>
      </c>
      <c r="C130" s="5" t="s">
        <v>20</v>
      </c>
      <c r="D130" s="4" t="s">
        <v>193</v>
      </c>
      <c r="E130" s="6">
        <v>37210</v>
      </c>
      <c r="F130" s="4" t="s">
        <v>22</v>
      </c>
      <c r="G130" s="7">
        <v>41444</v>
      </c>
      <c r="H130" s="4" t="s">
        <v>197</v>
      </c>
      <c r="I130" s="4">
        <v>498</v>
      </c>
      <c r="J130" s="4" t="s">
        <v>198</v>
      </c>
      <c r="K130" s="4">
        <v>0.05</v>
      </c>
      <c r="L130" s="4" t="s">
        <v>199</v>
      </c>
      <c r="M130" s="7">
        <v>127</v>
      </c>
      <c r="N130" s="6">
        <v>17</v>
      </c>
      <c r="O130" s="4" t="s">
        <v>196</v>
      </c>
      <c r="P130" s="4">
        <v>300</v>
      </c>
      <c r="Q130" s="4">
        <v>0</v>
      </c>
      <c r="R130" s="4">
        <v>300</v>
      </c>
      <c r="S130" s="4">
        <v>1999</v>
      </c>
    </row>
    <row r="131" spans="1:19" x14ac:dyDescent="0.25">
      <c r="A131" s="12" t="str">
        <f>"10504031400"</f>
        <v>10504031400</v>
      </c>
      <c r="B131" s="5" t="s">
        <v>19</v>
      </c>
      <c r="C131" s="5" t="s">
        <v>20</v>
      </c>
      <c r="D131" s="4" t="s">
        <v>193</v>
      </c>
      <c r="E131" s="6">
        <v>37210</v>
      </c>
      <c r="F131" s="4" t="s">
        <v>22</v>
      </c>
      <c r="G131" s="7">
        <v>41444</v>
      </c>
      <c r="H131" s="4" t="s">
        <v>200</v>
      </c>
      <c r="I131" s="4">
        <v>498</v>
      </c>
      <c r="J131" s="4" t="s">
        <v>201</v>
      </c>
      <c r="K131" s="4">
        <v>0.05</v>
      </c>
      <c r="L131" s="4" t="s">
        <v>202</v>
      </c>
      <c r="M131" s="7">
        <v>6013</v>
      </c>
      <c r="N131" s="6">
        <v>17</v>
      </c>
      <c r="O131" s="4" t="s">
        <v>196</v>
      </c>
      <c r="P131" s="4">
        <v>300</v>
      </c>
      <c r="Q131" s="4">
        <v>0</v>
      </c>
      <c r="R131" s="4">
        <v>300</v>
      </c>
      <c r="S131" s="4">
        <v>2223</v>
      </c>
    </row>
    <row r="132" spans="1:19" x14ac:dyDescent="0.25">
      <c r="A132" s="12" t="str">
        <f>"10504031700"</f>
        <v>10504031700</v>
      </c>
      <c r="B132" s="5" t="s">
        <v>19</v>
      </c>
      <c r="C132" s="5" t="s">
        <v>20</v>
      </c>
      <c r="D132" s="4" t="s">
        <v>193</v>
      </c>
      <c r="E132" s="6">
        <v>37210</v>
      </c>
      <c r="F132" s="4" t="s">
        <v>22</v>
      </c>
      <c r="G132" s="7">
        <v>41444</v>
      </c>
      <c r="H132" s="4" t="s">
        <v>203</v>
      </c>
      <c r="I132" s="4">
        <v>498</v>
      </c>
      <c r="J132" s="4" t="s">
        <v>204</v>
      </c>
      <c r="K132" s="4">
        <v>0.05</v>
      </c>
      <c r="L132" s="4" t="s">
        <v>205</v>
      </c>
      <c r="M132" s="7">
        <v>191</v>
      </c>
      <c r="N132" s="6">
        <v>17</v>
      </c>
      <c r="O132" s="4" t="s">
        <v>196</v>
      </c>
      <c r="P132" s="4">
        <v>300</v>
      </c>
      <c r="Q132" s="4">
        <v>0</v>
      </c>
      <c r="R132" s="4">
        <v>300</v>
      </c>
      <c r="S132" s="4">
        <v>2137</v>
      </c>
    </row>
    <row r="133" spans="1:19" x14ac:dyDescent="0.25">
      <c r="A133" s="12" t="str">
        <f>"09514012400"</f>
        <v>09514012400</v>
      </c>
      <c r="B133" s="5" t="s">
        <v>678</v>
      </c>
      <c r="C133" s="5" t="s">
        <v>20</v>
      </c>
      <c r="D133" s="11" t="s">
        <v>221</v>
      </c>
      <c r="E133" s="6">
        <v>37210</v>
      </c>
      <c r="F133" s="4" t="s">
        <v>22</v>
      </c>
      <c r="G133" s="7">
        <v>40198</v>
      </c>
      <c r="H133" s="4" t="s">
        <v>222</v>
      </c>
      <c r="I133" s="4">
        <v>2616</v>
      </c>
      <c r="J133" s="4" t="s">
        <v>223</v>
      </c>
      <c r="K133" s="4">
        <v>0.05</v>
      </c>
      <c r="L133" s="4" t="s">
        <v>224</v>
      </c>
      <c r="M133" s="7">
        <v>30706</v>
      </c>
      <c r="N133" s="6">
        <v>15</v>
      </c>
      <c r="O133" s="4" t="s">
        <v>39</v>
      </c>
      <c r="P133" s="4">
        <v>700</v>
      </c>
      <c r="Q133" s="4">
        <v>0</v>
      </c>
      <c r="R133" s="4">
        <v>700</v>
      </c>
      <c r="S133" s="4">
        <v>2192</v>
      </c>
    </row>
    <row r="134" spans="1:19" x14ac:dyDescent="0.25">
      <c r="A134" s="12" t="str">
        <f>"11903000300"</f>
        <v>11903000300</v>
      </c>
      <c r="B134" s="5" t="s">
        <v>678</v>
      </c>
      <c r="C134" s="5" t="s">
        <v>20</v>
      </c>
      <c r="D134" s="11" t="s">
        <v>277</v>
      </c>
      <c r="E134" s="6">
        <v>37210</v>
      </c>
      <c r="F134" s="4" t="s">
        <v>22</v>
      </c>
      <c r="G134" s="7">
        <v>41297</v>
      </c>
      <c r="H134" s="4" t="s">
        <v>278</v>
      </c>
      <c r="I134" s="4">
        <v>603</v>
      </c>
      <c r="J134" s="4" t="s">
        <v>279</v>
      </c>
      <c r="K134" s="4">
        <v>7.0000000000000007E-2</v>
      </c>
      <c r="L134" s="4" t="s">
        <v>280</v>
      </c>
      <c r="M134" s="7">
        <v>20678</v>
      </c>
      <c r="N134" s="6">
        <v>16</v>
      </c>
      <c r="O134" s="4" t="s">
        <v>26</v>
      </c>
      <c r="P134" s="4">
        <v>500</v>
      </c>
      <c r="Q134" s="4">
        <v>0</v>
      </c>
      <c r="R134" s="4">
        <v>500</v>
      </c>
      <c r="S134" s="4">
        <v>3017</v>
      </c>
    </row>
    <row r="135" spans="1:19" x14ac:dyDescent="0.25">
      <c r="A135" s="12" t="str">
        <f>"11901012000"</f>
        <v>11901012000</v>
      </c>
      <c r="B135" s="5" t="s">
        <v>19</v>
      </c>
      <c r="C135" s="5" t="s">
        <v>20</v>
      </c>
      <c r="D135" s="4" t="s">
        <v>281</v>
      </c>
      <c r="E135" s="6">
        <v>37210</v>
      </c>
      <c r="F135" s="4" t="s">
        <v>22</v>
      </c>
      <c r="G135" s="7">
        <v>28572</v>
      </c>
      <c r="H135" s="4" t="s">
        <v>282</v>
      </c>
      <c r="I135" s="4">
        <v>205</v>
      </c>
      <c r="J135" s="4" t="s">
        <v>283</v>
      </c>
      <c r="K135" s="4">
        <v>7.0000000000000007E-2</v>
      </c>
      <c r="L135" s="4" t="s">
        <v>284</v>
      </c>
      <c r="M135" s="7">
        <v>17278</v>
      </c>
      <c r="N135" s="6">
        <v>17</v>
      </c>
      <c r="O135" s="4" t="s">
        <v>26</v>
      </c>
      <c r="P135" s="4">
        <v>1000</v>
      </c>
      <c r="Q135" s="4">
        <v>0</v>
      </c>
      <c r="R135" s="4">
        <v>1000</v>
      </c>
      <c r="S135" s="4">
        <v>3172</v>
      </c>
    </row>
    <row r="136" spans="1:19" x14ac:dyDescent="0.25">
      <c r="A136" s="12" t="str">
        <f>"09316002900"</f>
        <v>09316002900</v>
      </c>
      <c r="B136" s="5" t="s">
        <v>19</v>
      </c>
      <c r="C136" s="5" t="s">
        <v>20</v>
      </c>
      <c r="D136" s="4" t="s">
        <v>296</v>
      </c>
      <c r="E136" s="6">
        <v>37210</v>
      </c>
      <c r="F136" s="4" t="s">
        <v>22</v>
      </c>
      <c r="G136" s="7">
        <v>37271</v>
      </c>
      <c r="H136" s="4" t="s">
        <v>297</v>
      </c>
      <c r="I136" s="4">
        <v>6427</v>
      </c>
      <c r="J136" s="4" t="s">
        <v>298</v>
      </c>
      <c r="K136" s="4">
        <v>0.08</v>
      </c>
      <c r="L136" s="4" t="s">
        <v>299</v>
      </c>
      <c r="M136" s="7">
        <v>27180</v>
      </c>
      <c r="N136" s="6">
        <v>19</v>
      </c>
      <c r="O136" s="4" t="s">
        <v>26</v>
      </c>
      <c r="P136" s="4">
        <v>29800</v>
      </c>
      <c r="Q136" s="4">
        <v>0</v>
      </c>
      <c r="R136" s="4">
        <v>29800</v>
      </c>
      <c r="S136" s="4">
        <v>3218</v>
      </c>
    </row>
    <row r="137" spans="1:19" x14ac:dyDescent="0.25">
      <c r="A137" s="12" t="str">
        <f>"11903000400"</f>
        <v>11903000400</v>
      </c>
      <c r="B137" s="5" t="s">
        <v>678</v>
      </c>
      <c r="C137" s="5" t="s">
        <v>20</v>
      </c>
      <c r="D137" s="11" t="s">
        <v>300</v>
      </c>
      <c r="E137" s="6">
        <v>37210</v>
      </c>
      <c r="F137" s="4" t="s">
        <v>22</v>
      </c>
      <c r="G137" s="7">
        <v>41297</v>
      </c>
      <c r="H137" s="4" t="s">
        <v>301</v>
      </c>
      <c r="I137" s="4">
        <v>603</v>
      </c>
      <c r="J137" s="4" t="s">
        <v>302</v>
      </c>
      <c r="K137" s="4">
        <v>0.08</v>
      </c>
      <c r="L137" s="4" t="s">
        <v>303</v>
      </c>
      <c r="M137" s="7">
        <v>20685</v>
      </c>
      <c r="N137" s="6">
        <v>16</v>
      </c>
      <c r="O137" s="4" t="s">
        <v>26</v>
      </c>
      <c r="P137" s="4">
        <v>500</v>
      </c>
      <c r="Q137" s="4">
        <v>0</v>
      </c>
      <c r="R137" s="4">
        <v>500</v>
      </c>
      <c r="S137" s="4">
        <v>3428</v>
      </c>
    </row>
    <row r="138" spans="1:19" x14ac:dyDescent="0.25">
      <c r="A138" s="12" t="str">
        <f>"10504031100"</f>
        <v>10504031100</v>
      </c>
      <c r="B138" s="5" t="s">
        <v>19</v>
      </c>
      <c r="C138" s="5" t="s">
        <v>20</v>
      </c>
      <c r="D138" s="4" t="s">
        <v>193</v>
      </c>
      <c r="E138" s="6">
        <v>37210</v>
      </c>
      <c r="F138" s="4" t="s">
        <v>22</v>
      </c>
      <c r="G138" s="7">
        <v>41444</v>
      </c>
      <c r="H138" s="4" t="s">
        <v>328</v>
      </c>
      <c r="I138" s="4">
        <v>498</v>
      </c>
      <c r="J138" s="4" t="s">
        <v>37</v>
      </c>
      <c r="K138" s="4">
        <v>0.09</v>
      </c>
      <c r="L138" s="4" t="s">
        <v>329</v>
      </c>
      <c r="M138" s="7">
        <v>167</v>
      </c>
      <c r="N138" s="6">
        <v>17</v>
      </c>
      <c r="O138" s="4" t="s">
        <v>196</v>
      </c>
      <c r="P138" s="4">
        <v>600</v>
      </c>
      <c r="Q138" s="4">
        <v>0</v>
      </c>
      <c r="R138" s="4">
        <v>600</v>
      </c>
      <c r="S138" s="4">
        <v>4181</v>
      </c>
    </row>
    <row r="139" spans="1:19" x14ac:dyDescent="0.25">
      <c r="A139" s="12" t="str">
        <f>"09312009100"</f>
        <v>09312009100</v>
      </c>
      <c r="B139" s="5" t="s">
        <v>19</v>
      </c>
      <c r="C139" s="5" t="s">
        <v>20</v>
      </c>
      <c r="D139" s="4" t="s">
        <v>396</v>
      </c>
      <c r="E139" s="6">
        <v>37210</v>
      </c>
      <c r="F139" s="4" t="s">
        <v>22</v>
      </c>
      <c r="G139" s="7">
        <v>40527</v>
      </c>
      <c r="H139" s="4" t="s">
        <v>397</v>
      </c>
      <c r="I139" s="4">
        <v>2234</v>
      </c>
      <c r="J139" s="4" t="s">
        <v>398</v>
      </c>
      <c r="K139" s="4">
        <v>0.14000000000000001</v>
      </c>
      <c r="L139" s="4" t="s">
        <v>399</v>
      </c>
      <c r="M139" s="7">
        <v>18546</v>
      </c>
      <c r="N139" s="6">
        <v>19</v>
      </c>
      <c r="O139" s="4" t="s">
        <v>39</v>
      </c>
      <c r="P139" s="4">
        <v>28900</v>
      </c>
      <c r="Q139" s="4">
        <v>0</v>
      </c>
      <c r="R139" s="4">
        <v>28900</v>
      </c>
      <c r="S139" s="4">
        <v>6118</v>
      </c>
    </row>
    <row r="140" spans="1:19" x14ac:dyDescent="0.25">
      <c r="A140" s="12" t="str">
        <f>"10504027700"</f>
        <v>10504027700</v>
      </c>
      <c r="B140" s="5" t="s">
        <v>19</v>
      </c>
      <c r="C140" s="5" t="s">
        <v>20</v>
      </c>
      <c r="D140" s="4" t="s">
        <v>495</v>
      </c>
      <c r="E140" s="6">
        <v>37210</v>
      </c>
      <c r="F140" s="4" t="s">
        <v>22</v>
      </c>
      <c r="G140" s="7">
        <v>41198</v>
      </c>
      <c r="H140" s="4" t="s">
        <v>496</v>
      </c>
      <c r="I140" s="4">
        <v>26284</v>
      </c>
      <c r="J140" s="4" t="s">
        <v>497</v>
      </c>
      <c r="K140" s="4">
        <v>0.48</v>
      </c>
      <c r="L140" s="4" t="s">
        <v>498</v>
      </c>
      <c r="M140" s="7">
        <v>24701</v>
      </c>
      <c r="N140" s="6">
        <v>17</v>
      </c>
      <c r="O140" s="4" t="s">
        <v>26</v>
      </c>
      <c r="P140" s="4">
        <v>31500</v>
      </c>
      <c r="Q140" s="4">
        <v>0</v>
      </c>
      <c r="R140" s="4">
        <v>31500</v>
      </c>
      <c r="S140" s="4">
        <v>21067</v>
      </c>
    </row>
    <row r="141" spans="1:19" x14ac:dyDescent="0.25">
      <c r="A141" s="12" t="str">
        <f>"09316036000"</f>
        <v>09316036000</v>
      </c>
      <c r="B141" s="9" t="s">
        <v>681</v>
      </c>
      <c r="C141" s="9" t="s">
        <v>591</v>
      </c>
      <c r="D141" s="10" t="s">
        <v>612</v>
      </c>
      <c r="E141" s="6">
        <v>37210</v>
      </c>
      <c r="F141" s="4" t="s">
        <v>22</v>
      </c>
      <c r="G141" s="7">
        <v>37271</v>
      </c>
      <c r="H141" s="4" t="s">
        <v>613</v>
      </c>
      <c r="I141" s="4">
        <v>9559</v>
      </c>
      <c r="J141" s="4" t="s">
        <v>614</v>
      </c>
      <c r="K141" s="4">
        <v>0.09</v>
      </c>
      <c r="L141" s="4" t="s">
        <v>615</v>
      </c>
      <c r="M141" s="7">
        <v>15871</v>
      </c>
      <c r="N141" s="6">
        <v>19</v>
      </c>
      <c r="O141" s="4" t="s">
        <v>26</v>
      </c>
      <c r="P141" s="4">
        <v>29800</v>
      </c>
      <c r="Q141" s="4">
        <v>0</v>
      </c>
      <c r="R141" s="4">
        <v>29800</v>
      </c>
      <c r="S141" s="4">
        <v>3578</v>
      </c>
    </row>
    <row r="142" spans="1:19" x14ac:dyDescent="0.25">
      <c r="A142" s="12" t="str">
        <f>"09316028400"</f>
        <v>09316028400</v>
      </c>
      <c r="B142" s="8" t="s">
        <v>19</v>
      </c>
      <c r="C142" s="5" t="s">
        <v>540</v>
      </c>
      <c r="D142" s="4" t="s">
        <v>134</v>
      </c>
      <c r="E142" s="6">
        <v>37210</v>
      </c>
      <c r="F142" s="4" t="s">
        <v>22</v>
      </c>
      <c r="G142" s="7">
        <v>35977</v>
      </c>
      <c r="H142" s="4" t="s">
        <v>655</v>
      </c>
      <c r="I142" s="4">
        <v>325</v>
      </c>
      <c r="J142" s="4" t="s">
        <v>656</v>
      </c>
      <c r="K142" s="4">
        <v>0.02</v>
      </c>
      <c r="L142" s="4" t="s">
        <v>657</v>
      </c>
      <c r="M142" s="7">
        <v>21667</v>
      </c>
      <c r="N142" s="6">
        <v>19</v>
      </c>
      <c r="O142" s="4" t="s">
        <v>26</v>
      </c>
      <c r="P142" s="4">
        <v>900</v>
      </c>
      <c r="Q142" s="4">
        <v>0</v>
      </c>
      <c r="R142" s="4">
        <v>900</v>
      </c>
      <c r="S142" s="4">
        <v>650</v>
      </c>
    </row>
    <row r="143" spans="1:19" x14ac:dyDescent="0.25">
      <c r="A143" s="12" t="str">
        <f>"14714019300"</f>
        <v>14714019300</v>
      </c>
      <c r="B143" s="5" t="s">
        <v>19</v>
      </c>
      <c r="C143" s="5" t="s">
        <v>20</v>
      </c>
      <c r="D143" s="4" t="s">
        <v>48</v>
      </c>
      <c r="E143" s="6">
        <v>37211</v>
      </c>
      <c r="F143" s="4" t="s">
        <v>22</v>
      </c>
      <c r="G143" s="7">
        <v>29300</v>
      </c>
      <c r="H143" s="4" t="s">
        <v>49</v>
      </c>
      <c r="I143" s="4" t="s">
        <v>50</v>
      </c>
      <c r="J143" s="4" t="s">
        <v>51</v>
      </c>
      <c r="K143" s="4">
        <v>0.02</v>
      </c>
      <c r="L143" s="4" t="s">
        <v>52</v>
      </c>
      <c r="M143" s="7">
        <v>26367</v>
      </c>
      <c r="N143" s="6">
        <v>27</v>
      </c>
      <c r="O143" s="4" t="s">
        <v>26</v>
      </c>
      <c r="P143" s="4">
        <v>500</v>
      </c>
      <c r="Q143" s="4">
        <v>0</v>
      </c>
      <c r="R143" s="4">
        <v>500</v>
      </c>
      <c r="S143" s="4">
        <v>841</v>
      </c>
    </row>
    <row r="144" spans="1:19" x14ac:dyDescent="0.25">
      <c r="A144" s="12" t="str">
        <f>"14806014700"</f>
        <v>14806014700</v>
      </c>
      <c r="B144" s="5" t="s">
        <v>19</v>
      </c>
      <c r="C144" s="5" t="s">
        <v>20</v>
      </c>
      <c r="D144" s="4" t="s">
        <v>214</v>
      </c>
      <c r="E144" s="6">
        <v>37211</v>
      </c>
      <c r="F144" s="4" t="s">
        <v>22</v>
      </c>
      <c r="G144" s="7">
        <v>34248</v>
      </c>
      <c r="H144" s="4" t="s">
        <v>215</v>
      </c>
      <c r="I144" s="4">
        <v>302</v>
      </c>
      <c r="J144" s="4" t="s">
        <v>216</v>
      </c>
      <c r="K144" s="4">
        <v>0.05</v>
      </c>
      <c r="L144" s="4" t="s">
        <v>217</v>
      </c>
      <c r="M144" s="7">
        <v>30946</v>
      </c>
      <c r="N144" s="6">
        <v>28</v>
      </c>
      <c r="O144" s="4" t="s">
        <v>26</v>
      </c>
      <c r="P144" s="4">
        <v>500</v>
      </c>
      <c r="Q144" s="4">
        <v>0</v>
      </c>
      <c r="R144" s="4">
        <v>500</v>
      </c>
      <c r="S144" s="4">
        <v>2359</v>
      </c>
    </row>
    <row r="145" spans="1:19" x14ac:dyDescent="0.25">
      <c r="A145" s="12" t="str">
        <f>"16102010000"</f>
        <v>16102010000</v>
      </c>
      <c r="B145" s="5" t="s">
        <v>19</v>
      </c>
      <c r="C145" s="5" t="s">
        <v>20</v>
      </c>
      <c r="D145" s="4" t="s">
        <v>48</v>
      </c>
      <c r="E145" s="6">
        <v>37211</v>
      </c>
      <c r="F145" s="4" t="s">
        <v>22</v>
      </c>
      <c r="G145" s="7">
        <v>29300</v>
      </c>
      <c r="H145" s="4" t="s">
        <v>218</v>
      </c>
      <c r="I145" s="4" t="s">
        <v>50</v>
      </c>
      <c r="J145" s="4" t="s">
        <v>219</v>
      </c>
      <c r="K145" s="4">
        <v>0.05</v>
      </c>
      <c r="L145" s="4" t="s">
        <v>220</v>
      </c>
      <c r="M145" s="7">
        <v>25847</v>
      </c>
      <c r="N145" s="6">
        <v>27</v>
      </c>
      <c r="O145" s="4" t="s">
        <v>26</v>
      </c>
      <c r="P145" s="4">
        <v>500</v>
      </c>
      <c r="Q145" s="4">
        <v>0</v>
      </c>
      <c r="R145" s="4">
        <v>500</v>
      </c>
      <c r="S145" s="4">
        <v>856</v>
      </c>
    </row>
    <row r="146" spans="1:19" x14ac:dyDescent="0.25">
      <c r="A146" s="12" t="str">
        <f>"161100A00100CO"</f>
        <v>161100A00100CO</v>
      </c>
      <c r="B146" s="5" t="s">
        <v>19</v>
      </c>
      <c r="C146" s="5" t="s">
        <v>20</v>
      </c>
      <c r="D146" s="4" t="s">
        <v>304</v>
      </c>
      <c r="E146" s="6">
        <v>37211</v>
      </c>
      <c r="F146" s="4" t="s">
        <v>22</v>
      </c>
      <c r="G146" s="7">
        <v>41626</v>
      </c>
      <c r="H146" s="4" t="s">
        <v>305</v>
      </c>
      <c r="I146" s="4">
        <v>558</v>
      </c>
      <c r="J146" s="4" t="s">
        <v>306</v>
      </c>
      <c r="K146" s="4">
        <v>0.08</v>
      </c>
      <c r="L146" s="4" t="s">
        <v>307</v>
      </c>
      <c r="M146" s="7">
        <v>30582</v>
      </c>
      <c r="N146" s="6">
        <v>27</v>
      </c>
      <c r="O146" s="4" t="s">
        <v>26</v>
      </c>
      <c r="P146" s="4">
        <v>100</v>
      </c>
      <c r="Q146" s="4">
        <v>0</v>
      </c>
      <c r="R146" s="4">
        <v>100</v>
      </c>
      <c r="S146" s="4">
        <v>3096</v>
      </c>
    </row>
    <row r="147" spans="1:19" x14ac:dyDescent="0.25">
      <c r="A147" s="12" t="str">
        <f>"14802011400"</f>
        <v>14802011400</v>
      </c>
      <c r="B147" s="5" t="s">
        <v>19</v>
      </c>
      <c r="C147" s="5" t="s">
        <v>20</v>
      </c>
      <c r="D147" s="4" t="s">
        <v>404</v>
      </c>
      <c r="E147" s="6">
        <v>37211</v>
      </c>
      <c r="F147" s="4" t="s">
        <v>22</v>
      </c>
      <c r="G147" s="7">
        <v>40156</v>
      </c>
      <c r="H147" s="4" t="s">
        <v>405</v>
      </c>
      <c r="I147" s="4">
        <v>773</v>
      </c>
      <c r="J147" s="4" t="s">
        <v>406</v>
      </c>
      <c r="K147" s="4">
        <v>0.14000000000000001</v>
      </c>
      <c r="L147" s="4" t="s">
        <v>407</v>
      </c>
      <c r="M147" s="7">
        <v>34604</v>
      </c>
      <c r="N147" s="6">
        <v>28</v>
      </c>
      <c r="O147" s="4" t="s">
        <v>26</v>
      </c>
      <c r="P147" s="4">
        <v>27500</v>
      </c>
      <c r="Q147" s="4">
        <v>0</v>
      </c>
      <c r="R147" s="4">
        <v>27500</v>
      </c>
      <c r="S147" s="4">
        <v>6055</v>
      </c>
    </row>
    <row r="148" spans="1:19" x14ac:dyDescent="0.25">
      <c r="A148" s="12" t="str">
        <f>"14809013200"</f>
        <v>14809013200</v>
      </c>
      <c r="B148" s="5" t="s">
        <v>19</v>
      </c>
      <c r="C148" s="5" t="s">
        <v>20</v>
      </c>
      <c r="D148" s="4" t="s">
        <v>446</v>
      </c>
      <c r="E148" s="6">
        <v>37211</v>
      </c>
      <c r="F148" s="4" t="s">
        <v>22</v>
      </c>
      <c r="G148" s="7">
        <v>40863</v>
      </c>
      <c r="H148" s="4" t="s">
        <v>447</v>
      </c>
      <c r="I148" s="4">
        <v>2412</v>
      </c>
      <c r="J148" s="4" t="s">
        <v>448</v>
      </c>
      <c r="K148" s="4">
        <v>0.21</v>
      </c>
      <c r="L148" s="4" t="s">
        <v>449</v>
      </c>
      <c r="M148" s="7">
        <v>16009</v>
      </c>
      <c r="N148" s="6">
        <v>30</v>
      </c>
      <c r="O148" s="4" t="s">
        <v>26</v>
      </c>
      <c r="P148" s="4">
        <v>1000</v>
      </c>
      <c r="Q148" s="4">
        <v>0</v>
      </c>
      <c r="R148" s="4">
        <v>1000</v>
      </c>
      <c r="S148" s="4">
        <v>10032</v>
      </c>
    </row>
    <row r="149" spans="1:19" x14ac:dyDescent="0.25">
      <c r="A149" s="12" t="str">
        <f>"13400028800"</f>
        <v>13400028800</v>
      </c>
      <c r="B149" s="5" t="s">
        <v>19</v>
      </c>
      <c r="C149" s="5" t="s">
        <v>20</v>
      </c>
      <c r="D149" s="4" t="s">
        <v>523</v>
      </c>
      <c r="E149" s="6">
        <v>37211</v>
      </c>
      <c r="F149" s="4" t="s">
        <v>22</v>
      </c>
      <c r="G149" s="7">
        <v>40863</v>
      </c>
      <c r="H149" s="4" t="s">
        <v>524</v>
      </c>
      <c r="I149" s="4">
        <v>1511</v>
      </c>
      <c r="J149" s="4" t="s">
        <v>525</v>
      </c>
      <c r="K149" s="4">
        <v>1.34</v>
      </c>
      <c r="L149" s="4" t="s">
        <v>526</v>
      </c>
      <c r="M149" s="7">
        <v>32169</v>
      </c>
      <c r="N149" s="6">
        <v>13</v>
      </c>
      <c r="O149" s="4" t="s">
        <v>39</v>
      </c>
      <c r="P149" s="4">
        <v>4800</v>
      </c>
      <c r="Q149" s="4">
        <v>0</v>
      </c>
      <c r="R149" s="4">
        <v>4800</v>
      </c>
      <c r="S149" s="4">
        <v>64162</v>
      </c>
    </row>
    <row r="150" spans="1:19" x14ac:dyDescent="0.25">
      <c r="A150" s="12" t="str">
        <f>"14708017400"</f>
        <v>14708017400</v>
      </c>
      <c r="B150" s="9" t="s">
        <v>681</v>
      </c>
      <c r="C150" s="9" t="s">
        <v>591</v>
      </c>
      <c r="D150" s="4" t="s">
        <v>620</v>
      </c>
      <c r="E150" s="6">
        <v>37211</v>
      </c>
      <c r="F150" s="4" t="s">
        <v>22</v>
      </c>
      <c r="G150" s="7">
        <v>41444</v>
      </c>
      <c r="H150" s="4" t="s">
        <v>621</v>
      </c>
      <c r="I150" s="4">
        <v>0</v>
      </c>
      <c r="J150" s="4" t="s">
        <v>622</v>
      </c>
      <c r="K150" s="4">
        <v>0.13</v>
      </c>
      <c r="L150" s="4" t="s">
        <v>623</v>
      </c>
      <c r="M150" s="7">
        <v>29308</v>
      </c>
      <c r="N150" s="6">
        <v>30</v>
      </c>
      <c r="O150" s="4" t="s">
        <v>26</v>
      </c>
      <c r="P150" s="4">
        <v>2500</v>
      </c>
      <c r="Q150" s="4">
        <v>0</v>
      </c>
      <c r="R150" s="4">
        <v>2500</v>
      </c>
      <c r="S150" s="4">
        <v>5389</v>
      </c>
    </row>
    <row r="151" spans="1:19" x14ac:dyDescent="0.25">
      <c r="A151" s="12" t="str">
        <f>"08415006700"</f>
        <v>08415006700</v>
      </c>
      <c r="B151" s="5" t="s">
        <v>678</v>
      </c>
      <c r="C151" s="5" t="s">
        <v>20</v>
      </c>
      <c r="D151" s="11" t="s">
        <v>121</v>
      </c>
      <c r="E151" s="6">
        <v>37214</v>
      </c>
      <c r="F151" s="4" t="s">
        <v>22</v>
      </c>
      <c r="G151" s="7">
        <v>41198</v>
      </c>
      <c r="H151" s="4" t="s">
        <v>122</v>
      </c>
      <c r="I151" s="4">
        <v>804</v>
      </c>
      <c r="J151" s="4" t="s">
        <v>123</v>
      </c>
      <c r="K151" s="4">
        <v>0.04</v>
      </c>
      <c r="L151" s="4" t="s">
        <v>124</v>
      </c>
      <c r="M151" s="7">
        <v>28037</v>
      </c>
      <c r="N151" s="6">
        <v>15</v>
      </c>
      <c r="O151" s="4" t="s">
        <v>26</v>
      </c>
      <c r="P151" s="4">
        <v>300</v>
      </c>
      <c r="Q151" s="4">
        <v>0</v>
      </c>
      <c r="R151" s="4">
        <v>300</v>
      </c>
      <c r="S151" s="4">
        <v>920</v>
      </c>
    </row>
    <row r="152" spans="1:19" x14ac:dyDescent="0.25">
      <c r="A152" s="12" t="str">
        <f>"10808009100"</f>
        <v>10808009100</v>
      </c>
      <c r="B152" s="5" t="s">
        <v>678</v>
      </c>
      <c r="C152" s="5" t="s">
        <v>20</v>
      </c>
      <c r="D152" s="11" t="s">
        <v>206</v>
      </c>
      <c r="E152" s="6">
        <v>37214</v>
      </c>
      <c r="F152" s="4" t="s">
        <v>22</v>
      </c>
      <c r="G152" s="7">
        <v>40443</v>
      </c>
      <c r="H152" s="4" t="s">
        <v>207</v>
      </c>
      <c r="I152" s="4">
        <v>669</v>
      </c>
      <c r="J152" s="4" t="s">
        <v>208</v>
      </c>
      <c r="K152" s="4">
        <v>0.05</v>
      </c>
      <c r="L152" s="4" t="s">
        <v>209</v>
      </c>
      <c r="M152" s="7">
        <v>29117</v>
      </c>
      <c r="N152" s="6">
        <v>13</v>
      </c>
      <c r="O152" s="4" t="s">
        <v>26</v>
      </c>
      <c r="P152" s="4">
        <v>1000</v>
      </c>
      <c r="Q152" s="4">
        <v>0</v>
      </c>
      <c r="R152" s="4">
        <v>1000</v>
      </c>
      <c r="S152" s="4">
        <v>1773</v>
      </c>
    </row>
    <row r="153" spans="1:19" x14ac:dyDescent="0.25">
      <c r="A153" s="12" t="str">
        <f>"08412005900"</f>
        <v>08412005900</v>
      </c>
      <c r="B153" s="5" t="s">
        <v>678</v>
      </c>
      <c r="C153" s="5" t="s">
        <v>20</v>
      </c>
      <c r="D153" s="11" t="s">
        <v>265</v>
      </c>
      <c r="E153" s="6">
        <v>37214</v>
      </c>
      <c r="F153" s="4" t="s">
        <v>22</v>
      </c>
      <c r="G153" s="7">
        <v>27575</v>
      </c>
      <c r="H153" s="4" t="s">
        <v>266</v>
      </c>
      <c r="I153" s="4" t="s">
        <v>50</v>
      </c>
      <c r="J153" s="4" t="s">
        <v>267</v>
      </c>
      <c r="K153" s="4">
        <v>7.0000000000000007E-2</v>
      </c>
      <c r="L153" s="4" t="s">
        <v>268</v>
      </c>
      <c r="M153" s="7">
        <v>25399</v>
      </c>
      <c r="N153" s="6">
        <v>15</v>
      </c>
      <c r="O153" s="4" t="s">
        <v>26</v>
      </c>
      <c r="P153" s="4">
        <v>1500</v>
      </c>
      <c r="Q153" s="4">
        <v>0</v>
      </c>
      <c r="R153" s="4">
        <v>1500</v>
      </c>
      <c r="S153" s="4">
        <v>2761</v>
      </c>
    </row>
    <row r="154" spans="1:19" x14ac:dyDescent="0.25">
      <c r="A154" s="12" t="str">
        <f>"07316008200"</f>
        <v>07316008200</v>
      </c>
      <c r="B154" s="5" t="s">
        <v>19</v>
      </c>
      <c r="C154" s="5" t="s">
        <v>20</v>
      </c>
      <c r="D154" s="4" t="s">
        <v>324</v>
      </c>
      <c r="E154" s="6">
        <v>37214</v>
      </c>
      <c r="F154" s="4" t="s">
        <v>22</v>
      </c>
      <c r="G154" s="7">
        <v>40555</v>
      </c>
      <c r="H154" s="4" t="s">
        <v>325</v>
      </c>
      <c r="I154" s="4">
        <v>1623</v>
      </c>
      <c r="J154" s="4" t="s">
        <v>326</v>
      </c>
      <c r="K154" s="4">
        <v>0.09</v>
      </c>
      <c r="L154" s="4" t="s">
        <v>327</v>
      </c>
      <c r="M154" s="7">
        <v>30704</v>
      </c>
      <c r="N154" s="6">
        <v>15</v>
      </c>
      <c r="O154" s="4" t="s">
        <v>26</v>
      </c>
      <c r="P154" s="4">
        <v>800</v>
      </c>
      <c r="Q154" s="4">
        <v>0</v>
      </c>
      <c r="R154" s="4">
        <v>800</v>
      </c>
      <c r="S154" s="4">
        <v>4884</v>
      </c>
    </row>
    <row r="155" spans="1:19" x14ac:dyDescent="0.25">
      <c r="A155" s="12" t="str">
        <f>"14403003900"</f>
        <v>14403003900</v>
      </c>
      <c r="B155" s="5" t="s">
        <v>19</v>
      </c>
      <c r="C155" s="5" t="s">
        <v>20</v>
      </c>
      <c r="D155" s="4" t="s">
        <v>400</v>
      </c>
      <c r="E155" s="6">
        <v>37215</v>
      </c>
      <c r="F155" s="4" t="s">
        <v>22</v>
      </c>
      <c r="G155" s="7">
        <v>28593</v>
      </c>
      <c r="H155" s="4" t="s">
        <v>401</v>
      </c>
      <c r="I155" s="4">
        <v>299</v>
      </c>
      <c r="J155" s="4" t="s">
        <v>402</v>
      </c>
      <c r="K155" s="4">
        <v>0.14000000000000001</v>
      </c>
      <c r="L155" s="4" t="s">
        <v>403</v>
      </c>
      <c r="M155" s="7">
        <v>24945</v>
      </c>
      <c r="N155" s="6">
        <v>34</v>
      </c>
      <c r="O155" s="4" t="s">
        <v>26</v>
      </c>
      <c r="P155" s="4">
        <v>2400</v>
      </c>
      <c r="Q155" s="4">
        <v>0</v>
      </c>
      <c r="R155" s="4">
        <v>2400</v>
      </c>
      <c r="S155" s="4">
        <v>6250</v>
      </c>
    </row>
    <row r="156" spans="1:19" x14ac:dyDescent="0.25">
      <c r="A156" s="12" t="str">
        <f>"07204012000"</f>
        <v>07204012000</v>
      </c>
      <c r="B156" s="5" t="s">
        <v>678</v>
      </c>
      <c r="C156" s="5" t="s">
        <v>20</v>
      </c>
      <c r="D156" s="11" t="s">
        <v>96</v>
      </c>
      <c r="E156" s="6">
        <v>37216</v>
      </c>
      <c r="F156" s="4" t="s">
        <v>22</v>
      </c>
      <c r="G156" s="7">
        <v>37658</v>
      </c>
      <c r="H156" s="4" t="s">
        <v>97</v>
      </c>
      <c r="I156" s="4">
        <v>349</v>
      </c>
      <c r="J156" s="4" t="s">
        <v>98</v>
      </c>
      <c r="K156" s="4">
        <v>0.04</v>
      </c>
      <c r="L156" s="4" t="s">
        <v>99</v>
      </c>
      <c r="M156" s="7">
        <v>27663</v>
      </c>
      <c r="N156" s="6">
        <v>7</v>
      </c>
      <c r="O156" s="4" t="s">
        <v>26</v>
      </c>
      <c r="P156" s="4">
        <v>5000</v>
      </c>
      <c r="Q156" s="4">
        <v>0</v>
      </c>
      <c r="R156" s="4">
        <v>5000</v>
      </c>
      <c r="S156" s="4">
        <v>1653</v>
      </c>
    </row>
    <row r="157" spans="1:19" x14ac:dyDescent="0.25">
      <c r="A157" s="12" t="str">
        <f>"05115004200"</f>
        <v>05115004200</v>
      </c>
      <c r="B157" s="5" t="s">
        <v>678</v>
      </c>
      <c r="C157" s="5" t="s">
        <v>20</v>
      </c>
      <c r="D157" s="11" t="s">
        <v>158</v>
      </c>
      <c r="E157" s="6">
        <v>37216</v>
      </c>
      <c r="F157" s="4" t="s">
        <v>22</v>
      </c>
      <c r="G157" s="7">
        <v>39652</v>
      </c>
      <c r="H157" s="4" t="s">
        <v>159</v>
      </c>
      <c r="I157" s="4">
        <v>346</v>
      </c>
      <c r="J157" s="4" t="s">
        <v>160</v>
      </c>
      <c r="K157" s="4">
        <v>0.05</v>
      </c>
      <c r="L157" s="4" t="s">
        <v>161</v>
      </c>
      <c r="M157" s="7">
        <v>36581</v>
      </c>
      <c r="N157" s="6">
        <v>8</v>
      </c>
      <c r="O157" s="4" t="s">
        <v>26</v>
      </c>
      <c r="P157" s="4">
        <v>1300</v>
      </c>
      <c r="Q157" s="4">
        <v>0</v>
      </c>
      <c r="R157" s="4">
        <v>1300</v>
      </c>
      <c r="S157" s="4">
        <v>1971</v>
      </c>
    </row>
    <row r="158" spans="1:19" x14ac:dyDescent="0.25">
      <c r="A158" s="12" t="str">
        <f>"07309025900"</f>
        <v>07309025900</v>
      </c>
      <c r="B158" s="5" t="s">
        <v>678</v>
      </c>
      <c r="C158" s="5" t="s">
        <v>20</v>
      </c>
      <c r="D158" s="11" t="s">
        <v>174</v>
      </c>
      <c r="E158" s="6">
        <v>37216</v>
      </c>
      <c r="F158" s="4" t="s">
        <v>22</v>
      </c>
      <c r="G158" s="7">
        <v>41198</v>
      </c>
      <c r="H158" s="4" t="s">
        <v>175</v>
      </c>
      <c r="I158" s="4">
        <v>722</v>
      </c>
      <c r="J158" s="4" t="s">
        <v>176</v>
      </c>
      <c r="K158" s="4">
        <v>0.05</v>
      </c>
      <c r="L158" s="4" t="s">
        <v>177</v>
      </c>
      <c r="M158" s="7">
        <v>30518</v>
      </c>
      <c r="N158" s="6">
        <v>7</v>
      </c>
      <c r="O158" s="4" t="s">
        <v>26</v>
      </c>
      <c r="P158" s="4">
        <v>6100</v>
      </c>
      <c r="Q158" s="4">
        <v>0</v>
      </c>
      <c r="R158" s="4">
        <v>6100</v>
      </c>
      <c r="S158" s="4">
        <v>1848</v>
      </c>
    </row>
    <row r="159" spans="1:19" x14ac:dyDescent="0.25">
      <c r="A159" s="12" t="str">
        <f>"07203007600"</f>
        <v>07203007600</v>
      </c>
      <c r="B159" s="5" t="s">
        <v>19</v>
      </c>
      <c r="C159" s="5" t="s">
        <v>20</v>
      </c>
      <c r="D159" s="4" t="s">
        <v>368</v>
      </c>
      <c r="E159" s="6">
        <v>37216</v>
      </c>
      <c r="F159" s="4" t="s">
        <v>22</v>
      </c>
      <c r="G159" s="7">
        <v>40555</v>
      </c>
      <c r="H159" s="4" t="s">
        <v>369</v>
      </c>
      <c r="I159" s="4">
        <v>2404</v>
      </c>
      <c r="J159" s="4" t="s">
        <v>370</v>
      </c>
      <c r="K159" s="4">
        <v>0.11</v>
      </c>
      <c r="L159" s="4" t="s">
        <v>371</v>
      </c>
      <c r="M159" s="7">
        <v>9425</v>
      </c>
      <c r="N159" s="6">
        <v>7</v>
      </c>
      <c r="O159" s="4" t="s">
        <v>26</v>
      </c>
      <c r="P159" s="4">
        <v>10000</v>
      </c>
      <c r="Q159" s="4">
        <v>0</v>
      </c>
      <c r="R159" s="4">
        <v>10000</v>
      </c>
      <c r="S159" s="4">
        <v>4965</v>
      </c>
    </row>
    <row r="160" spans="1:19" x14ac:dyDescent="0.25">
      <c r="A160" s="12" t="str">
        <f>"10705025600"</f>
        <v>10705025600</v>
      </c>
      <c r="B160" s="5" t="s">
        <v>19</v>
      </c>
      <c r="C160" s="5" t="s">
        <v>20</v>
      </c>
      <c r="D160" s="4" t="s">
        <v>438</v>
      </c>
      <c r="E160" s="6">
        <v>37217</v>
      </c>
      <c r="F160" s="4" t="s">
        <v>22</v>
      </c>
      <c r="G160" s="7">
        <v>28236</v>
      </c>
      <c r="H160" s="4" t="s">
        <v>439</v>
      </c>
      <c r="I160" s="4">
        <v>501</v>
      </c>
      <c r="J160" s="4" t="s">
        <v>440</v>
      </c>
      <c r="K160" s="4">
        <v>0.19</v>
      </c>
      <c r="L160" s="4" t="s">
        <v>441</v>
      </c>
      <c r="M160" s="7">
        <v>22123</v>
      </c>
      <c r="N160" s="6">
        <v>13</v>
      </c>
      <c r="O160" s="4" t="s">
        <v>26</v>
      </c>
      <c r="P160" s="4">
        <v>21500</v>
      </c>
      <c r="Q160" s="4">
        <v>0</v>
      </c>
      <c r="R160" s="4">
        <v>21500</v>
      </c>
      <c r="S160" s="4">
        <v>8338</v>
      </c>
    </row>
    <row r="161" spans="1:19" x14ac:dyDescent="0.25">
      <c r="A161" s="12" t="str">
        <f>"12000014900"</f>
        <v>12000014900</v>
      </c>
      <c r="B161" s="5" t="s">
        <v>19</v>
      </c>
      <c r="C161" s="5" t="s">
        <v>20</v>
      </c>
      <c r="D161" s="4" t="s">
        <v>324</v>
      </c>
      <c r="E161" s="6">
        <v>37217</v>
      </c>
      <c r="F161" s="4" t="s">
        <v>22</v>
      </c>
      <c r="G161" s="7">
        <v>41444</v>
      </c>
      <c r="H161" s="4" t="s">
        <v>479</v>
      </c>
      <c r="I161" s="4">
        <v>1435</v>
      </c>
      <c r="J161" s="4" t="s">
        <v>480</v>
      </c>
      <c r="K161" s="4">
        <v>0.32</v>
      </c>
      <c r="L161" s="4" t="s">
        <v>481</v>
      </c>
      <c r="M161" s="7">
        <v>33084</v>
      </c>
      <c r="N161" s="6">
        <v>13</v>
      </c>
      <c r="O161" s="4" t="s">
        <v>26</v>
      </c>
      <c r="P161" s="4">
        <v>17500</v>
      </c>
      <c r="Q161" s="4">
        <v>0</v>
      </c>
      <c r="R161" s="4">
        <v>17500</v>
      </c>
      <c r="S161" s="4">
        <v>13481</v>
      </c>
    </row>
    <row r="162" spans="1:19" x14ac:dyDescent="0.25">
      <c r="A162" s="12" t="str">
        <f>"06800007400"</f>
        <v>06800007400</v>
      </c>
      <c r="B162" s="5" t="s">
        <v>678</v>
      </c>
      <c r="C162" s="5" t="s">
        <v>20</v>
      </c>
      <c r="D162" s="11" t="s">
        <v>100</v>
      </c>
      <c r="E162" s="6">
        <v>37218</v>
      </c>
      <c r="F162" s="4" t="s">
        <v>22</v>
      </c>
      <c r="G162" s="7">
        <v>39792</v>
      </c>
      <c r="H162" s="4" t="s">
        <v>101</v>
      </c>
      <c r="I162" s="4">
        <v>633</v>
      </c>
      <c r="J162" s="4" t="s">
        <v>102</v>
      </c>
      <c r="K162" s="4">
        <v>0.04</v>
      </c>
      <c r="L162" s="4" t="s">
        <v>103</v>
      </c>
      <c r="M162" s="7">
        <v>28426</v>
      </c>
      <c r="N162" s="6">
        <v>1</v>
      </c>
      <c r="O162" s="4" t="s">
        <v>104</v>
      </c>
      <c r="P162" s="4">
        <v>500</v>
      </c>
      <c r="Q162" s="4">
        <v>0</v>
      </c>
      <c r="R162" s="4">
        <v>500</v>
      </c>
      <c r="S162" s="4">
        <v>1010</v>
      </c>
    </row>
    <row r="163" spans="1:19" x14ac:dyDescent="0.25">
      <c r="A163" s="12" t="str">
        <f>"05905001100"</f>
        <v>05905001100</v>
      </c>
      <c r="B163" s="5" t="s">
        <v>19</v>
      </c>
      <c r="C163" s="5" t="s">
        <v>20</v>
      </c>
      <c r="D163" s="4" t="s">
        <v>162</v>
      </c>
      <c r="E163" s="6">
        <v>37218</v>
      </c>
      <c r="F163" s="4" t="s">
        <v>22</v>
      </c>
      <c r="G163" s="7">
        <v>37118</v>
      </c>
      <c r="H163" s="4" t="s">
        <v>163</v>
      </c>
      <c r="I163" s="4">
        <v>0</v>
      </c>
      <c r="J163" s="4" t="s">
        <v>164</v>
      </c>
      <c r="K163" s="4">
        <v>0.05</v>
      </c>
      <c r="L163" s="4" t="s">
        <v>165</v>
      </c>
      <c r="M163" s="7">
        <v>27372</v>
      </c>
      <c r="N163" s="6">
        <v>1</v>
      </c>
      <c r="O163" s="4" t="s">
        <v>26</v>
      </c>
      <c r="P163" s="4">
        <v>1500</v>
      </c>
      <c r="Q163" s="4">
        <v>0</v>
      </c>
      <c r="R163" s="4">
        <v>1500</v>
      </c>
      <c r="S163" s="4">
        <v>847</v>
      </c>
    </row>
    <row r="164" spans="1:19" x14ac:dyDescent="0.25">
      <c r="A164" s="12" t="str">
        <f>"06904010900"</f>
        <v>06904010900</v>
      </c>
      <c r="B164" s="5" t="s">
        <v>19</v>
      </c>
      <c r="C164" s="5" t="s">
        <v>20</v>
      </c>
      <c r="D164" s="4" t="s">
        <v>285</v>
      </c>
      <c r="E164" s="6">
        <v>37218</v>
      </c>
      <c r="F164" s="4" t="s">
        <v>22</v>
      </c>
      <c r="G164" s="7">
        <v>39617</v>
      </c>
      <c r="H164" s="4" t="s">
        <v>286</v>
      </c>
      <c r="I164" s="4" t="s">
        <v>50</v>
      </c>
      <c r="J164" s="4" t="s">
        <v>287</v>
      </c>
      <c r="K164" s="4">
        <v>7.0000000000000007E-2</v>
      </c>
      <c r="L164" s="4" t="s">
        <v>288</v>
      </c>
      <c r="M164" s="7">
        <v>25850</v>
      </c>
      <c r="N164" s="6">
        <v>1</v>
      </c>
      <c r="O164" s="4" t="s">
        <v>26</v>
      </c>
      <c r="P164" s="4">
        <v>1500</v>
      </c>
      <c r="Q164" s="4">
        <v>0</v>
      </c>
      <c r="R164" s="4">
        <v>1500</v>
      </c>
      <c r="S164" s="4">
        <v>3696</v>
      </c>
    </row>
    <row r="165" spans="1:19" x14ac:dyDescent="0.25">
      <c r="A165" s="12" t="str">
        <f>"06900010500"</f>
        <v>06900010500</v>
      </c>
      <c r="B165" s="5" t="s">
        <v>19</v>
      </c>
      <c r="C165" s="5" t="s">
        <v>20</v>
      </c>
      <c r="D165" s="4" t="s">
        <v>376</v>
      </c>
      <c r="E165" s="6">
        <v>37218</v>
      </c>
      <c r="F165" s="4" t="s">
        <v>22</v>
      </c>
      <c r="G165" s="7">
        <v>40772</v>
      </c>
      <c r="H165" s="4" t="s">
        <v>377</v>
      </c>
      <c r="I165" s="4">
        <v>364</v>
      </c>
      <c r="J165" s="4" t="s">
        <v>378</v>
      </c>
      <c r="K165" s="4">
        <v>0.12</v>
      </c>
      <c r="L165" s="4" t="s">
        <v>379</v>
      </c>
      <c r="M165" s="7">
        <v>34435</v>
      </c>
      <c r="N165" s="6">
        <v>1</v>
      </c>
      <c r="O165" s="4" t="s">
        <v>26</v>
      </c>
      <c r="P165" s="4">
        <v>600</v>
      </c>
      <c r="Q165" s="4">
        <v>0</v>
      </c>
      <c r="R165" s="4">
        <v>600</v>
      </c>
      <c r="S165" s="4">
        <v>16091</v>
      </c>
    </row>
    <row r="166" spans="1:19" x14ac:dyDescent="0.25">
      <c r="A166" s="12" t="str">
        <f>"05808000500"</f>
        <v>05808000500</v>
      </c>
      <c r="B166" s="5" t="s">
        <v>19</v>
      </c>
      <c r="C166" s="5" t="s">
        <v>20</v>
      </c>
      <c r="D166" s="4" t="s">
        <v>419</v>
      </c>
      <c r="E166" s="6">
        <v>37218</v>
      </c>
      <c r="F166" s="4" t="s">
        <v>22</v>
      </c>
      <c r="G166" s="7">
        <v>41171</v>
      </c>
      <c r="H166" s="4" t="s">
        <v>420</v>
      </c>
      <c r="I166" s="4">
        <v>382</v>
      </c>
      <c r="J166" s="4" t="s">
        <v>421</v>
      </c>
      <c r="K166" s="4">
        <v>0.17</v>
      </c>
      <c r="L166" s="4" t="s">
        <v>422</v>
      </c>
      <c r="M166" s="7">
        <v>27640</v>
      </c>
      <c r="N166" s="6">
        <v>1</v>
      </c>
      <c r="O166" s="4" t="s">
        <v>26</v>
      </c>
      <c r="P166" s="4">
        <v>1200</v>
      </c>
      <c r="Q166" s="4">
        <v>0</v>
      </c>
      <c r="R166" s="4">
        <v>1200</v>
      </c>
      <c r="S166" s="4">
        <v>7617</v>
      </c>
    </row>
    <row r="167" spans="1:19" x14ac:dyDescent="0.25">
      <c r="A167" s="12" t="str">
        <f>"05905029600"</f>
        <v>05905029600</v>
      </c>
      <c r="B167" s="4" t="s">
        <v>19</v>
      </c>
      <c r="C167" s="5" t="s">
        <v>540</v>
      </c>
      <c r="D167" s="4" t="s">
        <v>549</v>
      </c>
      <c r="E167" s="6">
        <v>37218</v>
      </c>
      <c r="F167" s="4" t="s">
        <v>22</v>
      </c>
      <c r="G167" s="7">
        <v>37118</v>
      </c>
      <c r="H167" s="4" t="s">
        <v>550</v>
      </c>
      <c r="I167" s="4">
        <v>0</v>
      </c>
      <c r="J167" s="4" t="s">
        <v>551</v>
      </c>
      <c r="K167" s="4">
        <v>0.01</v>
      </c>
      <c r="L167" s="4" t="s">
        <v>552</v>
      </c>
      <c r="M167" s="7">
        <v>26624</v>
      </c>
      <c r="N167" s="6">
        <v>1</v>
      </c>
      <c r="O167" s="4" t="s">
        <v>26</v>
      </c>
      <c r="P167" s="4">
        <v>1500</v>
      </c>
      <c r="Q167" s="4">
        <v>0</v>
      </c>
      <c r="R167" s="4">
        <v>1500</v>
      </c>
      <c r="S167" s="4">
        <v>261</v>
      </c>
    </row>
    <row r="168" spans="1:19" x14ac:dyDescent="0.25">
      <c r="A168" s="12" t="str">
        <f>"06700008200"</f>
        <v>06700008200</v>
      </c>
      <c r="B168" s="8" t="s">
        <v>19</v>
      </c>
      <c r="C168" s="5" t="s">
        <v>540</v>
      </c>
      <c r="D168" s="4" t="s">
        <v>670</v>
      </c>
      <c r="E168" s="6">
        <v>37218</v>
      </c>
      <c r="F168" s="4" t="s">
        <v>22</v>
      </c>
      <c r="G168" s="7">
        <v>41626</v>
      </c>
      <c r="H168" s="4" t="s">
        <v>671</v>
      </c>
      <c r="I168" s="4">
        <v>675</v>
      </c>
      <c r="J168" s="4" t="s">
        <v>672</v>
      </c>
      <c r="K168" s="4">
        <v>0.02</v>
      </c>
      <c r="L168" s="4" t="s">
        <v>673</v>
      </c>
      <c r="M168" s="7">
        <v>24169</v>
      </c>
      <c r="N168" s="6">
        <v>1</v>
      </c>
      <c r="O168" s="4" t="s">
        <v>26</v>
      </c>
      <c r="P168" s="4">
        <v>500</v>
      </c>
      <c r="Q168" s="4">
        <v>0</v>
      </c>
      <c r="R168" s="4">
        <v>500</v>
      </c>
      <c r="S168" s="4">
        <v>1279</v>
      </c>
    </row>
    <row r="169" spans="1:19" x14ac:dyDescent="0.25">
      <c r="A169" s="12" t="str">
        <f>"12815001500"</f>
        <v>12815001500</v>
      </c>
      <c r="B169" s="5" t="s">
        <v>19</v>
      </c>
      <c r="C169" s="5" t="s">
        <v>20</v>
      </c>
      <c r="D169" s="4" t="s">
        <v>210</v>
      </c>
      <c r="E169" s="6">
        <v>37221</v>
      </c>
      <c r="F169" s="4" t="s">
        <v>22</v>
      </c>
      <c r="G169" s="7">
        <v>36462</v>
      </c>
      <c r="H169" s="4" t="s">
        <v>211</v>
      </c>
      <c r="I169" s="4">
        <v>252</v>
      </c>
      <c r="J169" s="4" t="s">
        <v>212</v>
      </c>
      <c r="K169" s="4">
        <v>0.05</v>
      </c>
      <c r="L169" s="4" t="s">
        <v>213</v>
      </c>
      <c r="M169" s="7">
        <v>23994</v>
      </c>
      <c r="N169" s="6">
        <v>22</v>
      </c>
      <c r="O169" s="4" t="s">
        <v>104</v>
      </c>
      <c r="P169" s="4">
        <v>200</v>
      </c>
      <c r="Q169" s="4">
        <v>0</v>
      </c>
      <c r="R169" s="4">
        <v>200</v>
      </c>
      <c r="S169" s="4">
        <v>2301</v>
      </c>
    </row>
    <row r="170" spans="1:19" x14ac:dyDescent="0.25">
      <c r="A170" s="4"/>
      <c r="B170" s="8"/>
      <c r="C170" s="8"/>
      <c r="D170" s="4"/>
      <c r="E170" s="6"/>
      <c r="F170" s="4"/>
      <c r="G170" s="4"/>
      <c r="H170" s="4"/>
      <c r="I170" s="4"/>
      <c r="J170" s="4"/>
      <c r="K170" s="4"/>
      <c r="L170" s="4"/>
      <c r="M170" s="4"/>
      <c r="N170" s="6"/>
      <c r="O170" s="4"/>
      <c r="P170" s="4"/>
      <c r="Q170" s="4"/>
      <c r="R170" s="4"/>
      <c r="S170" s="4"/>
    </row>
  </sheetData>
  <sortState xmlns:xlrd2="http://schemas.microsoft.com/office/spreadsheetml/2017/richdata2" ref="A2:S170">
    <sortCondition ref="E2:E170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Teasley, Felecia (Finance)</dc:creator>
  <cp:lastModifiedBy>Teasley, Felecia (Finance)</cp:lastModifiedBy>
  <dcterms:created xsi:type="dcterms:W3CDTF">2023-06-13T22:51:44Z</dcterms:created>
  <dcterms:modified xsi:type="dcterms:W3CDTF">2023-06-15T14:45:06Z</dcterms:modified>
</cp:coreProperties>
</file>